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3"/>
  </bookViews>
  <sheets>
    <sheet name="Crewmanifest" sheetId="1" r:id="rId1"/>
    <sheet name="Speziesanteile nach Abteilungen" sheetId="2" r:id="rId2"/>
    <sheet name="Abteilungen Grafiken" sheetId="5" r:id="rId3"/>
    <sheet name="Speziesanteile nach Rängen" sheetId="3" r:id="rId4"/>
    <sheet name="Ränge Grafiken" sheetId="6" r:id="rId5"/>
    <sheet name="Speziesanteile nach Schichten" sheetId="4" r:id="rId6"/>
  </sheets>
  <calcPr calcId="125725"/>
</workbook>
</file>

<file path=xl/calcChain.xml><?xml version="1.0" encoding="utf-8"?>
<calcChain xmlns="http://schemas.openxmlformats.org/spreadsheetml/2006/main">
  <c r="B5" i="3"/>
  <c r="B6"/>
  <c r="B7"/>
  <c r="B8"/>
  <c r="B9"/>
  <c r="B10"/>
  <c r="B11"/>
  <c r="B12"/>
  <c r="B13"/>
  <c r="B14"/>
  <c r="B15"/>
  <c r="B16"/>
  <c r="B4"/>
  <c r="E24" i="4"/>
  <c r="E25"/>
  <c r="E26"/>
  <c r="E27"/>
  <c r="E28"/>
  <c r="E29"/>
  <c r="E30"/>
  <c r="E31"/>
  <c r="E32"/>
  <c r="E33"/>
  <c r="C24"/>
  <c r="C25"/>
  <c r="C26"/>
  <c r="C27"/>
  <c r="C28"/>
  <c r="C29"/>
  <c r="C30"/>
  <c r="C31"/>
  <c r="C32"/>
  <c r="C33"/>
  <c r="C23"/>
  <c r="E23"/>
  <c r="D24"/>
  <c r="D25"/>
  <c r="D26"/>
  <c r="D27"/>
  <c r="D28"/>
  <c r="D29"/>
  <c r="D30"/>
  <c r="D31"/>
  <c r="D32"/>
  <c r="D33"/>
  <c r="D23"/>
  <c r="B23"/>
  <c r="B11"/>
  <c r="B24"/>
  <c r="B25"/>
  <c r="B26"/>
  <c r="B27"/>
  <c r="B28"/>
  <c r="B29"/>
  <c r="B30"/>
  <c r="B31"/>
  <c r="B32"/>
  <c r="B33"/>
  <c r="B4"/>
  <c r="D5"/>
  <c r="D6"/>
  <c r="D7"/>
  <c r="D8"/>
  <c r="D9"/>
  <c r="D10"/>
  <c r="D11"/>
  <c r="D12"/>
  <c r="D13"/>
  <c r="D14"/>
  <c r="D15"/>
  <c r="D16"/>
  <c r="D4"/>
  <c r="B5"/>
  <c r="B6"/>
  <c r="B7"/>
  <c r="B8"/>
  <c r="B9"/>
  <c r="B10"/>
  <c r="B12"/>
  <c r="B13"/>
  <c r="B14"/>
  <c r="B15"/>
  <c r="B16"/>
  <c r="B3"/>
  <c r="C16" s="1"/>
  <c r="H26" i="3"/>
  <c r="H27"/>
  <c r="H28"/>
  <c r="H29"/>
  <c r="H30"/>
  <c r="H31"/>
  <c r="H32"/>
  <c r="H33"/>
  <c r="H34"/>
  <c r="H35"/>
  <c r="H25"/>
  <c r="F26"/>
  <c r="F27"/>
  <c r="F28"/>
  <c r="F29"/>
  <c r="F30"/>
  <c r="F31"/>
  <c r="F32"/>
  <c r="F33"/>
  <c r="F34"/>
  <c r="F35"/>
  <c r="F25"/>
  <c r="D25"/>
  <c r="B26"/>
  <c r="B27"/>
  <c r="B28"/>
  <c r="B29"/>
  <c r="B30"/>
  <c r="B31"/>
  <c r="B32"/>
  <c r="B33"/>
  <c r="B34"/>
  <c r="B35"/>
  <c r="B25"/>
  <c r="AB26"/>
  <c r="AB27"/>
  <c r="AB28"/>
  <c r="AB29"/>
  <c r="AB30"/>
  <c r="AB31"/>
  <c r="AB32"/>
  <c r="AB33"/>
  <c r="AB34"/>
  <c r="AB35"/>
  <c r="AB25"/>
  <c r="Z26"/>
  <c r="Z27"/>
  <c r="D27" s="1"/>
  <c r="Z28"/>
  <c r="D28" s="1"/>
  <c r="Z29"/>
  <c r="D29" s="1"/>
  <c r="Z30"/>
  <c r="Z31"/>
  <c r="Z32"/>
  <c r="Z33"/>
  <c r="Z34"/>
  <c r="D34" s="1"/>
  <c r="Z35"/>
  <c r="Z25"/>
  <c r="X26"/>
  <c r="X27"/>
  <c r="X28"/>
  <c r="X29"/>
  <c r="X30"/>
  <c r="X31"/>
  <c r="D31" s="1"/>
  <c r="X32"/>
  <c r="X33"/>
  <c r="X34"/>
  <c r="X35"/>
  <c r="X25"/>
  <c r="U26"/>
  <c r="U27"/>
  <c r="U28"/>
  <c r="U29"/>
  <c r="U30"/>
  <c r="U31"/>
  <c r="U32"/>
  <c r="U33"/>
  <c r="U34"/>
  <c r="U35"/>
  <c r="U25"/>
  <c r="S26"/>
  <c r="S27"/>
  <c r="S28"/>
  <c r="S29"/>
  <c r="S30"/>
  <c r="S31"/>
  <c r="S32"/>
  <c r="S33"/>
  <c r="S34"/>
  <c r="S35"/>
  <c r="S25"/>
  <c r="Q26"/>
  <c r="Q27"/>
  <c r="Q28"/>
  <c r="Q29"/>
  <c r="Q30"/>
  <c r="Q31"/>
  <c r="Q32"/>
  <c r="Q33"/>
  <c r="Q34"/>
  <c r="Q35"/>
  <c r="Q25"/>
  <c r="O25"/>
  <c r="Q16"/>
  <c r="O16"/>
  <c r="Q5"/>
  <c r="Q6"/>
  <c r="Q7"/>
  <c r="Q8"/>
  <c r="Q9"/>
  <c r="Q10"/>
  <c r="Q11"/>
  <c r="Q12"/>
  <c r="Q13"/>
  <c r="Q14"/>
  <c r="Q15"/>
  <c r="Q4"/>
  <c r="O4"/>
  <c r="Q3"/>
  <c r="R3" s="1"/>
  <c r="O26"/>
  <c r="O27"/>
  <c r="O28"/>
  <c r="O29"/>
  <c r="O30"/>
  <c r="O31"/>
  <c r="O32"/>
  <c r="O33"/>
  <c r="O34"/>
  <c r="O35"/>
  <c r="M26"/>
  <c r="M27"/>
  <c r="M28"/>
  <c r="M29"/>
  <c r="M30"/>
  <c r="M31"/>
  <c r="M32"/>
  <c r="M33"/>
  <c r="M34"/>
  <c r="M35"/>
  <c r="M25"/>
  <c r="K25"/>
  <c r="D30"/>
  <c r="K26"/>
  <c r="K27"/>
  <c r="K28"/>
  <c r="K29"/>
  <c r="K30"/>
  <c r="K31"/>
  <c r="K32"/>
  <c r="K33"/>
  <c r="K34"/>
  <c r="K35"/>
  <c r="B23" i="2"/>
  <c r="C23" s="1"/>
  <c r="H16" i="3"/>
  <c r="H5"/>
  <c r="H6"/>
  <c r="H7"/>
  <c r="H8"/>
  <c r="H9"/>
  <c r="H10"/>
  <c r="H11"/>
  <c r="H12"/>
  <c r="H13"/>
  <c r="H14"/>
  <c r="H15"/>
  <c r="H4"/>
  <c r="K4"/>
  <c r="K5"/>
  <c r="K6"/>
  <c r="K7"/>
  <c r="K8"/>
  <c r="K9"/>
  <c r="K10"/>
  <c r="K11"/>
  <c r="K12"/>
  <c r="K13"/>
  <c r="K14"/>
  <c r="K15"/>
  <c r="K16"/>
  <c r="F16"/>
  <c r="F5"/>
  <c r="F6"/>
  <c r="F7"/>
  <c r="F8"/>
  <c r="F9"/>
  <c r="F10"/>
  <c r="F11"/>
  <c r="F12"/>
  <c r="F13"/>
  <c r="F14"/>
  <c r="F15"/>
  <c r="F4"/>
  <c r="AB16"/>
  <c r="AB5"/>
  <c r="AB6"/>
  <c r="AB7"/>
  <c r="AB8"/>
  <c r="AB9"/>
  <c r="AB10"/>
  <c r="AB11"/>
  <c r="AB12"/>
  <c r="AB13"/>
  <c r="AB14"/>
  <c r="AB15"/>
  <c r="AB4"/>
  <c r="Z16"/>
  <c r="Z5"/>
  <c r="Z6"/>
  <c r="Z7"/>
  <c r="Z8"/>
  <c r="Z9"/>
  <c r="Z10"/>
  <c r="Z11"/>
  <c r="Z12"/>
  <c r="Z13"/>
  <c r="Z14"/>
  <c r="Z15"/>
  <c r="Z4"/>
  <c r="X16"/>
  <c r="X5"/>
  <c r="X6"/>
  <c r="X7"/>
  <c r="X8"/>
  <c r="X9"/>
  <c r="X10"/>
  <c r="X11"/>
  <c r="X12"/>
  <c r="X13"/>
  <c r="X14"/>
  <c r="X15"/>
  <c r="X4"/>
  <c r="U5"/>
  <c r="U6"/>
  <c r="U7"/>
  <c r="U8"/>
  <c r="U9"/>
  <c r="U10"/>
  <c r="U11"/>
  <c r="U12"/>
  <c r="U13"/>
  <c r="U14"/>
  <c r="U15"/>
  <c r="U4"/>
  <c r="U16"/>
  <c r="S16"/>
  <c r="T16" i="2"/>
  <c r="R16"/>
  <c r="P16"/>
  <c r="N16"/>
  <c r="L16"/>
  <c r="J16"/>
  <c r="D16"/>
  <c r="F16"/>
  <c r="H16"/>
  <c r="M16" i="3"/>
  <c r="S5"/>
  <c r="S6"/>
  <c r="S7"/>
  <c r="S8"/>
  <c r="S9"/>
  <c r="S10"/>
  <c r="S11"/>
  <c r="S12"/>
  <c r="S13"/>
  <c r="S14"/>
  <c r="S15"/>
  <c r="S4"/>
  <c r="O5"/>
  <c r="O6"/>
  <c r="O7"/>
  <c r="O8"/>
  <c r="O9"/>
  <c r="O10"/>
  <c r="O11"/>
  <c r="O12"/>
  <c r="O13"/>
  <c r="O14"/>
  <c r="O15"/>
  <c r="M4"/>
  <c r="M5"/>
  <c r="M6"/>
  <c r="M7"/>
  <c r="M8"/>
  <c r="M9"/>
  <c r="M10"/>
  <c r="M11"/>
  <c r="M12"/>
  <c r="M13"/>
  <c r="M14"/>
  <c r="M15"/>
  <c r="T5" i="2"/>
  <c r="T6"/>
  <c r="T7"/>
  <c r="T8"/>
  <c r="T9"/>
  <c r="T10"/>
  <c r="T11"/>
  <c r="T12"/>
  <c r="T13"/>
  <c r="T14"/>
  <c r="T15"/>
  <c r="T4"/>
  <c r="R5"/>
  <c r="R6"/>
  <c r="R7"/>
  <c r="R8"/>
  <c r="R9"/>
  <c r="R10"/>
  <c r="R11"/>
  <c r="R12"/>
  <c r="R13"/>
  <c r="R14"/>
  <c r="R15"/>
  <c r="R4"/>
  <c r="P5"/>
  <c r="P6"/>
  <c r="P7"/>
  <c r="P8"/>
  <c r="P9"/>
  <c r="P10"/>
  <c r="P11"/>
  <c r="P12"/>
  <c r="P13"/>
  <c r="P14"/>
  <c r="P15"/>
  <c r="P4"/>
  <c r="N5"/>
  <c r="N6"/>
  <c r="N7"/>
  <c r="N8"/>
  <c r="N9"/>
  <c r="N10"/>
  <c r="N11"/>
  <c r="N12"/>
  <c r="N13"/>
  <c r="N14"/>
  <c r="N15"/>
  <c r="N4"/>
  <c r="L5"/>
  <c r="L6"/>
  <c r="L7"/>
  <c r="L8"/>
  <c r="L9"/>
  <c r="L10"/>
  <c r="L11"/>
  <c r="L12"/>
  <c r="L13"/>
  <c r="L14"/>
  <c r="L15"/>
  <c r="L4"/>
  <c r="J5"/>
  <c r="J6"/>
  <c r="J7"/>
  <c r="J8"/>
  <c r="J9"/>
  <c r="J10"/>
  <c r="J11"/>
  <c r="J12"/>
  <c r="J13"/>
  <c r="J14"/>
  <c r="J15"/>
  <c r="J4"/>
  <c r="H5"/>
  <c r="H6"/>
  <c r="H7"/>
  <c r="H8"/>
  <c r="H9"/>
  <c r="H10"/>
  <c r="H11"/>
  <c r="H12"/>
  <c r="H13"/>
  <c r="H14"/>
  <c r="H15"/>
  <c r="H4"/>
  <c r="F5"/>
  <c r="F6"/>
  <c r="F7"/>
  <c r="F8"/>
  <c r="F9"/>
  <c r="F10"/>
  <c r="F11"/>
  <c r="F12"/>
  <c r="F13"/>
  <c r="F14"/>
  <c r="F15"/>
  <c r="F4"/>
  <c r="D4"/>
  <c r="D5"/>
  <c r="D6"/>
  <c r="D7"/>
  <c r="D8"/>
  <c r="D9"/>
  <c r="D10"/>
  <c r="D11"/>
  <c r="D12"/>
  <c r="D13"/>
  <c r="D14"/>
  <c r="D15"/>
  <c r="B4"/>
  <c r="T24"/>
  <c r="U24" s="1"/>
  <c r="T25"/>
  <c r="U25" s="1"/>
  <c r="T26"/>
  <c r="T27"/>
  <c r="U27" s="1"/>
  <c r="T28"/>
  <c r="U28" s="1"/>
  <c r="T29"/>
  <c r="T30"/>
  <c r="U30" s="1"/>
  <c r="T31"/>
  <c r="U31" s="1"/>
  <c r="T32"/>
  <c r="U32" s="1"/>
  <c r="T33"/>
  <c r="U33" s="1"/>
  <c r="T23"/>
  <c r="U23" s="1"/>
  <c r="R24"/>
  <c r="R25"/>
  <c r="R26"/>
  <c r="R27"/>
  <c r="R28"/>
  <c r="R29"/>
  <c r="R30"/>
  <c r="R31"/>
  <c r="R32"/>
  <c r="R33"/>
  <c r="R23"/>
  <c r="P24"/>
  <c r="P25"/>
  <c r="P26"/>
  <c r="P27"/>
  <c r="P28"/>
  <c r="P29"/>
  <c r="P30"/>
  <c r="P31"/>
  <c r="P32"/>
  <c r="P33"/>
  <c r="P23"/>
  <c r="N24"/>
  <c r="N25"/>
  <c r="N26"/>
  <c r="N27"/>
  <c r="N28"/>
  <c r="N29"/>
  <c r="N30"/>
  <c r="N31"/>
  <c r="N32"/>
  <c r="N33"/>
  <c r="N23"/>
  <c r="L24"/>
  <c r="L25"/>
  <c r="L26"/>
  <c r="L27"/>
  <c r="L28"/>
  <c r="L29"/>
  <c r="L30"/>
  <c r="L31"/>
  <c r="L32"/>
  <c r="L33"/>
  <c r="L23"/>
  <c r="U26"/>
  <c r="U29"/>
  <c r="J24"/>
  <c r="J25"/>
  <c r="J26"/>
  <c r="J27"/>
  <c r="J28"/>
  <c r="J29"/>
  <c r="J30"/>
  <c r="J31"/>
  <c r="J32"/>
  <c r="J33"/>
  <c r="J23"/>
  <c r="H23"/>
  <c r="H24"/>
  <c r="H25"/>
  <c r="H26"/>
  <c r="H27"/>
  <c r="H28"/>
  <c r="H29"/>
  <c r="H30"/>
  <c r="H31"/>
  <c r="H32"/>
  <c r="H33"/>
  <c r="F23"/>
  <c r="F24"/>
  <c r="F25"/>
  <c r="F26"/>
  <c r="F27"/>
  <c r="F28"/>
  <c r="F29"/>
  <c r="F30"/>
  <c r="F31"/>
  <c r="F32"/>
  <c r="F33"/>
  <c r="D23"/>
  <c r="E23" s="1"/>
  <c r="D24"/>
  <c r="D25"/>
  <c r="D26"/>
  <c r="D27"/>
  <c r="D28"/>
  <c r="D29"/>
  <c r="E29" s="1"/>
  <c r="D30"/>
  <c r="D31"/>
  <c r="D32"/>
  <c r="D33"/>
  <c r="D10" i="3"/>
  <c r="D18" i="4"/>
  <c r="E18" s="1"/>
  <c r="B18"/>
  <c r="E9"/>
  <c r="E6"/>
  <c r="E3"/>
  <c r="D3"/>
  <c r="F3" i="3"/>
  <c r="H3"/>
  <c r="I15" s="1"/>
  <c r="AB3"/>
  <c r="AC15" s="1"/>
  <c r="Z3"/>
  <c r="X3"/>
  <c r="U3"/>
  <c r="S3"/>
  <c r="O3"/>
  <c r="P29" s="1"/>
  <c r="M3"/>
  <c r="N35" s="1"/>
  <c r="K3"/>
  <c r="L29" s="1"/>
  <c r="B13" i="2"/>
  <c r="B7"/>
  <c r="B10"/>
  <c r="B24"/>
  <c r="B25"/>
  <c r="B26"/>
  <c r="B27"/>
  <c r="B28"/>
  <c r="B29"/>
  <c r="B30"/>
  <c r="B31"/>
  <c r="B32"/>
  <c r="B33"/>
  <c r="B11"/>
  <c r="B5"/>
  <c r="B12"/>
  <c r="B14"/>
  <c r="B15"/>
  <c r="B6"/>
  <c r="B8"/>
  <c r="B16"/>
  <c r="B3"/>
  <c r="H95" i="1"/>
  <c r="H92"/>
  <c r="H93"/>
  <c r="H94"/>
  <c r="H96"/>
  <c r="H97"/>
  <c r="H98"/>
  <c r="H91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9"/>
  <c r="H100"/>
  <c r="H101"/>
  <c r="H102"/>
  <c r="H103"/>
  <c r="H104"/>
  <c r="H105"/>
  <c r="H106"/>
  <c r="H107"/>
  <c r="H108"/>
  <c r="H109"/>
  <c r="H110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R3" i="2"/>
  <c r="S9" s="1"/>
  <c r="P3"/>
  <c r="N3"/>
  <c r="L3"/>
  <c r="M18" s="1"/>
  <c r="J3"/>
  <c r="K18" s="1"/>
  <c r="H3"/>
  <c r="I18" s="1"/>
  <c r="F3"/>
  <c r="D3"/>
  <c r="T3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"/>
  <c r="E16" i="4" l="1"/>
  <c r="E15"/>
  <c r="E12"/>
  <c r="G29" i="3"/>
  <c r="D35"/>
  <c r="D33"/>
  <c r="AA35"/>
  <c r="D32"/>
  <c r="D26"/>
  <c r="Y35"/>
  <c r="V33"/>
  <c r="T32"/>
  <c r="R10"/>
  <c r="R30"/>
  <c r="R9"/>
  <c r="R29"/>
  <c r="R14"/>
  <c r="R34"/>
  <c r="R7"/>
  <c r="R13"/>
  <c r="R27"/>
  <c r="R33"/>
  <c r="R15"/>
  <c r="R8"/>
  <c r="R6"/>
  <c r="R12"/>
  <c r="R26"/>
  <c r="R32"/>
  <c r="R16"/>
  <c r="R35"/>
  <c r="R28"/>
  <c r="R5"/>
  <c r="R11"/>
  <c r="R25"/>
  <c r="R31"/>
  <c r="L31"/>
  <c r="N31"/>
  <c r="G26"/>
  <c r="G35"/>
  <c r="I30"/>
  <c r="L28"/>
  <c r="T25"/>
  <c r="T31"/>
  <c r="V26"/>
  <c r="V32"/>
  <c r="L27"/>
  <c r="AA26"/>
  <c r="AA28"/>
  <c r="AA30"/>
  <c r="AA32"/>
  <c r="AA34"/>
  <c r="G28"/>
  <c r="N33"/>
  <c r="P32"/>
  <c r="P26"/>
  <c r="G34"/>
  <c r="I29"/>
  <c r="I35"/>
  <c r="N29"/>
  <c r="P35"/>
  <c r="T30"/>
  <c r="V25"/>
  <c r="V31"/>
  <c r="L34"/>
  <c r="Y26"/>
  <c r="Y28"/>
  <c r="Y30"/>
  <c r="Y32"/>
  <c r="Y34"/>
  <c r="G25"/>
  <c r="P33"/>
  <c r="P27"/>
  <c r="G33"/>
  <c r="I28"/>
  <c r="I34"/>
  <c r="N28"/>
  <c r="P31"/>
  <c r="T29"/>
  <c r="T35"/>
  <c r="V30"/>
  <c r="L35"/>
  <c r="AC25"/>
  <c r="AC27"/>
  <c r="AC29"/>
  <c r="AC31"/>
  <c r="AC33"/>
  <c r="AC35"/>
  <c r="P34"/>
  <c r="G20"/>
  <c r="G32"/>
  <c r="I27"/>
  <c r="I33"/>
  <c r="P30"/>
  <c r="T28"/>
  <c r="T34"/>
  <c r="V29"/>
  <c r="V35"/>
  <c r="AA25"/>
  <c r="AA27"/>
  <c r="AA29"/>
  <c r="AA31"/>
  <c r="AA33"/>
  <c r="N25"/>
  <c r="G30"/>
  <c r="I26"/>
  <c r="I32"/>
  <c r="L30"/>
  <c r="T27"/>
  <c r="T33"/>
  <c r="V28"/>
  <c r="V34"/>
  <c r="Y25"/>
  <c r="Y27"/>
  <c r="Y29"/>
  <c r="Y31"/>
  <c r="Y33"/>
  <c r="G31"/>
  <c r="P25"/>
  <c r="G27"/>
  <c r="I25"/>
  <c r="I31"/>
  <c r="T26"/>
  <c r="V27"/>
  <c r="AC26"/>
  <c r="AC28"/>
  <c r="AC30"/>
  <c r="AC32"/>
  <c r="AC34"/>
  <c r="E26"/>
  <c r="N32"/>
  <c r="N26"/>
  <c r="P28"/>
  <c r="N30"/>
  <c r="N34"/>
  <c r="N27"/>
  <c r="L25"/>
  <c r="L33"/>
  <c r="L26"/>
  <c r="L32"/>
  <c r="D3"/>
  <c r="E27" s="1"/>
  <c r="T15"/>
  <c r="L9"/>
  <c r="G9"/>
  <c r="D13"/>
  <c r="D7"/>
  <c r="D12"/>
  <c r="D6"/>
  <c r="D11"/>
  <c r="E11" s="1"/>
  <c r="D5"/>
  <c r="AA15"/>
  <c r="D14"/>
  <c r="D8"/>
  <c r="D15"/>
  <c r="D9"/>
  <c r="V11"/>
  <c r="H18"/>
  <c r="F18"/>
  <c r="AB18"/>
  <c r="Z18"/>
  <c r="D16"/>
  <c r="E16" s="1"/>
  <c r="X18"/>
  <c r="Y16"/>
  <c r="U18"/>
  <c r="G16" i="2"/>
  <c r="S18" i="3"/>
  <c r="P11"/>
  <c r="O18"/>
  <c r="D4"/>
  <c r="N13"/>
  <c r="M18"/>
  <c r="U5" i="2"/>
  <c r="Q16"/>
  <c r="O16"/>
  <c r="E4"/>
  <c r="G30"/>
  <c r="G33"/>
  <c r="G27"/>
  <c r="G28"/>
  <c r="E33"/>
  <c r="E27"/>
  <c r="G32"/>
  <c r="G26"/>
  <c r="E31"/>
  <c r="O28"/>
  <c r="E30"/>
  <c r="G29"/>
  <c r="O27"/>
  <c r="K29"/>
  <c r="I30"/>
  <c r="I24"/>
  <c r="E32"/>
  <c r="I31"/>
  <c r="I25"/>
  <c r="I32"/>
  <c r="I26"/>
  <c r="E28"/>
  <c r="I33"/>
  <c r="S29"/>
  <c r="I29"/>
  <c r="K28"/>
  <c r="M30"/>
  <c r="M32"/>
  <c r="M26"/>
  <c r="O31"/>
  <c r="O25"/>
  <c r="Q30"/>
  <c r="Q24"/>
  <c r="I23"/>
  <c r="K30"/>
  <c r="K24"/>
  <c r="M33"/>
  <c r="M27"/>
  <c r="O32"/>
  <c r="Q31"/>
  <c r="S30"/>
  <c r="E24"/>
  <c r="G24"/>
  <c r="I27"/>
  <c r="M29"/>
  <c r="S27"/>
  <c r="K31"/>
  <c r="K25"/>
  <c r="S24"/>
  <c r="M23"/>
  <c r="O33"/>
  <c r="Q32"/>
  <c r="Q26"/>
  <c r="S31"/>
  <c r="S25"/>
  <c r="I28"/>
  <c r="K26"/>
  <c r="S28"/>
  <c r="E25"/>
  <c r="M28"/>
  <c r="Q29"/>
  <c r="S26"/>
  <c r="O23"/>
  <c r="Q33"/>
  <c r="Q27"/>
  <c r="S32"/>
  <c r="G25"/>
  <c r="G31"/>
  <c r="E26"/>
  <c r="G23"/>
  <c r="K32"/>
  <c r="Q28"/>
  <c r="K33"/>
  <c r="K27"/>
  <c r="Q25"/>
  <c r="M24"/>
  <c r="Q23"/>
  <c r="S33"/>
  <c r="O29"/>
  <c r="K23"/>
  <c r="O26"/>
  <c r="M31"/>
  <c r="M25"/>
  <c r="O30"/>
  <c r="O24"/>
  <c r="S23"/>
  <c r="E3" i="3"/>
  <c r="P4"/>
  <c r="E10"/>
  <c r="E9"/>
  <c r="L4"/>
  <c r="L3"/>
  <c r="P16"/>
  <c r="L5"/>
  <c r="L10"/>
  <c r="B3"/>
  <c r="C20" s="1"/>
  <c r="L11"/>
  <c r="L6"/>
  <c r="L7"/>
  <c r="L14"/>
  <c r="L8"/>
  <c r="C5" i="4"/>
  <c r="C8"/>
  <c r="C11"/>
  <c r="C14"/>
  <c r="C6"/>
  <c r="C9"/>
  <c r="C12"/>
  <c r="C15"/>
  <c r="C3"/>
  <c r="E5"/>
  <c r="E8"/>
  <c r="E11"/>
  <c r="E14"/>
  <c r="C18"/>
  <c r="T11" i="3"/>
  <c r="E4" i="4"/>
  <c r="E7"/>
  <c r="E10"/>
  <c r="E13"/>
  <c r="T5" i="3"/>
  <c r="C4" i="4"/>
  <c r="C7"/>
  <c r="C10"/>
  <c r="C13"/>
  <c r="N3" i="3"/>
  <c r="N15"/>
  <c r="C13" i="2"/>
  <c r="N12" i="3"/>
  <c r="O13" i="2"/>
  <c r="N11" i="3"/>
  <c r="P13"/>
  <c r="N9"/>
  <c r="P10"/>
  <c r="N5"/>
  <c r="N6"/>
  <c r="P7"/>
  <c r="G16"/>
  <c r="G12"/>
  <c r="G6"/>
  <c r="G3"/>
  <c r="G15"/>
  <c r="I5"/>
  <c r="I8"/>
  <c r="I11"/>
  <c r="I14"/>
  <c r="G5"/>
  <c r="G8"/>
  <c r="G11"/>
  <c r="G14"/>
  <c r="I4"/>
  <c r="I7"/>
  <c r="I10"/>
  <c r="I13"/>
  <c r="I16"/>
  <c r="G4"/>
  <c r="G7"/>
  <c r="G10"/>
  <c r="G13"/>
  <c r="I3"/>
  <c r="I6"/>
  <c r="I9"/>
  <c r="I12"/>
  <c r="T8"/>
  <c r="T14"/>
  <c r="P3"/>
  <c r="P9"/>
  <c r="P15"/>
  <c r="T7"/>
  <c r="T13"/>
  <c r="N4"/>
  <c r="N10"/>
  <c r="N16"/>
  <c r="P8"/>
  <c r="P14"/>
  <c r="T6"/>
  <c r="T12"/>
  <c r="N8"/>
  <c r="N14"/>
  <c r="P6"/>
  <c r="P12"/>
  <c r="T4"/>
  <c r="T10"/>
  <c r="T16"/>
  <c r="N7"/>
  <c r="P5"/>
  <c r="T3"/>
  <c r="T9"/>
  <c r="AC7"/>
  <c r="AC13"/>
  <c r="AC6"/>
  <c r="AC12"/>
  <c r="AC14"/>
  <c r="AC4"/>
  <c r="AC10"/>
  <c r="AC16"/>
  <c r="AC8"/>
  <c r="AC5"/>
  <c r="AC11"/>
  <c r="AC3"/>
  <c r="AC9"/>
  <c r="Y3"/>
  <c r="Y15"/>
  <c r="Y8"/>
  <c r="Y14"/>
  <c r="Y7"/>
  <c r="Y13"/>
  <c r="Y5"/>
  <c r="Y11"/>
  <c r="Y9"/>
  <c r="Y6"/>
  <c r="Y12"/>
  <c r="Y4"/>
  <c r="Y10"/>
  <c r="V4"/>
  <c r="V16"/>
  <c r="V15"/>
  <c r="V8"/>
  <c r="V14"/>
  <c r="V10"/>
  <c r="V9"/>
  <c r="V7"/>
  <c r="V6"/>
  <c r="V12"/>
  <c r="V3"/>
  <c r="V13"/>
  <c r="V5"/>
  <c r="AA6"/>
  <c r="AA12"/>
  <c r="AA5"/>
  <c r="AA11"/>
  <c r="AA8"/>
  <c r="AA14"/>
  <c r="AA7"/>
  <c r="AA13"/>
  <c r="AA4"/>
  <c r="AA10"/>
  <c r="AA16"/>
  <c r="AA3"/>
  <c r="AA9"/>
  <c r="I7" i="2"/>
  <c r="I13"/>
  <c r="Q13"/>
  <c r="K13"/>
  <c r="S13"/>
  <c r="M13"/>
  <c r="U13"/>
  <c r="Q7"/>
  <c r="E13"/>
  <c r="G13"/>
  <c r="M10"/>
  <c r="K7"/>
  <c r="S7"/>
  <c r="M7"/>
  <c r="U7"/>
  <c r="O7"/>
  <c r="E7"/>
  <c r="G7"/>
  <c r="C7"/>
  <c r="O10"/>
  <c r="Q10"/>
  <c r="E10"/>
  <c r="S10"/>
  <c r="G10"/>
  <c r="I10"/>
  <c r="U10"/>
  <c r="K10"/>
  <c r="C10"/>
  <c r="U15"/>
  <c r="I15"/>
  <c r="K15"/>
  <c r="M15"/>
  <c r="C28"/>
  <c r="C30"/>
  <c r="C24"/>
  <c r="C31"/>
  <c r="C25"/>
  <c r="O15"/>
  <c r="Q15"/>
  <c r="E15"/>
  <c r="S15"/>
  <c r="G15"/>
  <c r="C32"/>
  <c r="C26"/>
  <c r="C33"/>
  <c r="C27"/>
  <c r="C29"/>
  <c r="M11"/>
  <c r="O11"/>
  <c r="Q11"/>
  <c r="E11"/>
  <c r="S11"/>
  <c r="G11"/>
  <c r="C11"/>
  <c r="C5"/>
  <c r="I11"/>
  <c r="U11"/>
  <c r="K11"/>
  <c r="S5"/>
  <c r="K5"/>
  <c r="O5"/>
  <c r="Q5"/>
  <c r="E5"/>
  <c r="M5"/>
  <c r="G5"/>
  <c r="I5"/>
  <c r="G8"/>
  <c r="S8"/>
  <c r="B9"/>
  <c r="E8"/>
  <c r="K8"/>
  <c r="Q8"/>
  <c r="U8"/>
  <c r="M8"/>
  <c r="I8"/>
  <c r="O8"/>
  <c r="Q6"/>
  <c r="Q9"/>
  <c r="Q18"/>
  <c r="O3"/>
  <c r="O18"/>
  <c r="O4"/>
  <c r="O14"/>
  <c r="O6"/>
  <c r="K6"/>
  <c r="K16"/>
  <c r="I16"/>
  <c r="I9"/>
  <c r="I4"/>
  <c r="I6"/>
  <c r="I12"/>
  <c r="I3"/>
  <c r="I14"/>
  <c r="S6"/>
  <c r="S14"/>
  <c r="S18"/>
  <c r="S4"/>
  <c r="S12"/>
  <c r="S16"/>
  <c r="S3"/>
  <c r="Q12"/>
  <c r="Q4"/>
  <c r="Q3"/>
  <c r="Q14"/>
  <c r="O9"/>
  <c r="O12"/>
  <c r="M14"/>
  <c r="M12"/>
  <c r="M4"/>
  <c r="M6"/>
  <c r="M16"/>
  <c r="M3"/>
  <c r="M9"/>
  <c r="K9"/>
  <c r="K12"/>
  <c r="K4"/>
  <c r="K3"/>
  <c r="K14"/>
  <c r="G18"/>
  <c r="G9"/>
  <c r="G3"/>
  <c r="G6"/>
  <c r="G12"/>
  <c r="G4"/>
  <c r="G14"/>
  <c r="E14"/>
  <c r="E6"/>
  <c r="E18"/>
  <c r="E16"/>
  <c r="E3"/>
  <c r="E9"/>
  <c r="E12"/>
  <c r="U12"/>
  <c r="U16"/>
  <c r="U9"/>
  <c r="U3"/>
  <c r="U4"/>
  <c r="U14"/>
  <c r="U6"/>
  <c r="E25" i="3" l="1"/>
  <c r="E35"/>
  <c r="E32"/>
  <c r="C27"/>
  <c r="C25"/>
  <c r="C32"/>
  <c r="C35"/>
  <c r="C30"/>
  <c r="C33"/>
  <c r="C31"/>
  <c r="E29"/>
  <c r="E20"/>
  <c r="E33"/>
  <c r="E31"/>
  <c r="E34"/>
  <c r="E30"/>
  <c r="C34"/>
  <c r="C29"/>
  <c r="C26"/>
  <c r="E28"/>
  <c r="C28"/>
  <c r="E5"/>
  <c r="E13"/>
  <c r="E14"/>
  <c r="E7"/>
  <c r="E8"/>
  <c r="E12"/>
  <c r="E15"/>
  <c r="E6"/>
  <c r="G18"/>
  <c r="N18"/>
  <c r="T18"/>
  <c r="L16"/>
  <c r="K18"/>
  <c r="L15"/>
  <c r="C13"/>
  <c r="L13"/>
  <c r="C12"/>
  <c r="L12"/>
  <c r="D18"/>
  <c r="V18"/>
  <c r="I18"/>
  <c r="AC18"/>
  <c r="AA18"/>
  <c r="Y18"/>
  <c r="C11"/>
  <c r="P18"/>
  <c r="E4"/>
  <c r="C9"/>
  <c r="C7"/>
  <c r="C10"/>
  <c r="C15"/>
  <c r="C3"/>
  <c r="C5"/>
  <c r="C16"/>
  <c r="C4"/>
  <c r="C6"/>
  <c r="C8"/>
  <c r="C14"/>
  <c r="C6" i="2"/>
  <c r="C3"/>
  <c r="C4"/>
  <c r="C12"/>
  <c r="C18"/>
  <c r="C15"/>
  <c r="C9"/>
  <c r="C14"/>
  <c r="C8"/>
  <c r="C16"/>
  <c r="R4" i="3" l="1"/>
  <c r="R18" s="1"/>
  <c r="Q18"/>
  <c r="E18"/>
  <c r="L18"/>
  <c r="B18"/>
  <c r="C18"/>
</calcChain>
</file>

<file path=xl/sharedStrings.xml><?xml version="1.0" encoding="utf-8"?>
<sst xmlns="http://schemas.openxmlformats.org/spreadsheetml/2006/main" count="685" uniqueCount="181">
  <si>
    <t>Person</t>
  </si>
  <si>
    <t>Abteilung</t>
  </si>
  <si>
    <t>Spezies</t>
  </si>
  <si>
    <t>Tevron Destin</t>
  </si>
  <si>
    <t>Risaner</t>
  </si>
  <si>
    <t>Mischling</t>
  </si>
  <si>
    <t>Thor'din Kairsh</t>
  </si>
  <si>
    <t>Andorianer</t>
  </si>
  <si>
    <t>John Trentow</t>
  </si>
  <si>
    <t>Position</t>
  </si>
  <si>
    <t>CO</t>
  </si>
  <si>
    <t>XO</t>
  </si>
  <si>
    <t>WachOff Gamma</t>
  </si>
  <si>
    <t>Mensch</t>
  </si>
  <si>
    <t>Rang</t>
  </si>
  <si>
    <t>Captain</t>
  </si>
  <si>
    <t>Commander</t>
  </si>
  <si>
    <t>Lieutenant</t>
  </si>
  <si>
    <t>Joran Sias</t>
  </si>
  <si>
    <t>CON</t>
  </si>
  <si>
    <t>Lieutenant Commander</t>
  </si>
  <si>
    <t>Trill</t>
  </si>
  <si>
    <t>Kyle Erickson</t>
  </si>
  <si>
    <t>Lieutenant JG</t>
  </si>
  <si>
    <t>Leon Bristow</t>
  </si>
  <si>
    <t>Ensign</t>
  </si>
  <si>
    <t>Schicht</t>
  </si>
  <si>
    <t>Alpha</t>
  </si>
  <si>
    <t>Gamma</t>
  </si>
  <si>
    <t>Thomas Carlyle</t>
  </si>
  <si>
    <t>Beta</t>
  </si>
  <si>
    <t>Anna Johannson</t>
  </si>
  <si>
    <t>Torek</t>
  </si>
  <si>
    <t>OPS</t>
  </si>
  <si>
    <t>T'Kora</t>
  </si>
  <si>
    <t>Naavar</t>
  </si>
  <si>
    <t>Telo</t>
  </si>
  <si>
    <t>CPO</t>
  </si>
  <si>
    <t>Benedict DeVille</t>
  </si>
  <si>
    <t>PO</t>
  </si>
  <si>
    <t>Yassim Natima</t>
  </si>
  <si>
    <t>Mariza Sarmiento</t>
  </si>
  <si>
    <t>CM</t>
  </si>
  <si>
    <t>Isidor Mok</t>
  </si>
  <si>
    <t>Coperniu Tan</t>
  </si>
  <si>
    <t>Bruce Wagner</t>
  </si>
  <si>
    <t>SEC</t>
  </si>
  <si>
    <t>Leit. SEC</t>
  </si>
  <si>
    <t>Leit. OPS</t>
  </si>
  <si>
    <t>Stellv. Leit. OPS / Leit. Beta</t>
  </si>
  <si>
    <t>Leit. CON</t>
  </si>
  <si>
    <t>Stellv. Leit. CON</t>
  </si>
  <si>
    <t>James Maxwell</t>
  </si>
  <si>
    <t>Stellv. Leit. SEC</t>
  </si>
  <si>
    <t>Gesamt</t>
  </si>
  <si>
    <t>Vulkanier</t>
  </si>
  <si>
    <t>Klingone</t>
  </si>
  <si>
    <t>ENG</t>
  </si>
  <si>
    <t>CMD</t>
  </si>
  <si>
    <t>MED</t>
  </si>
  <si>
    <t>SCI</t>
  </si>
  <si>
    <t>Cardassianer</t>
  </si>
  <si>
    <t>Bajoraner</t>
  </si>
  <si>
    <t xml:space="preserve">Gesamt </t>
  </si>
  <si>
    <t>Spezies 2 (M)</t>
  </si>
  <si>
    <t>%</t>
  </si>
  <si>
    <t>Pers.</t>
  </si>
  <si>
    <t>Christopher Verheiden-Hatch</t>
  </si>
  <si>
    <t>Robert Harris</t>
  </si>
  <si>
    <t>MCPO</t>
  </si>
  <si>
    <t>Michael Vaughn</t>
  </si>
  <si>
    <t>Bradshaw</t>
  </si>
  <si>
    <t>Tarok</t>
  </si>
  <si>
    <t>Hurstman</t>
  </si>
  <si>
    <t>Unbekannt</t>
  </si>
  <si>
    <t>Kitara</t>
  </si>
  <si>
    <t>Illim</t>
  </si>
  <si>
    <t>Chris Daniels</t>
  </si>
  <si>
    <t>York</t>
  </si>
  <si>
    <t>Korso dé Kastelack</t>
  </si>
  <si>
    <t>Anita Crenna</t>
  </si>
  <si>
    <t>Tall</t>
  </si>
  <si>
    <t>Rhea McMillan</t>
  </si>
  <si>
    <t>Michael Johnson</t>
  </si>
  <si>
    <t>Morin Taleen</t>
  </si>
  <si>
    <t>Rory Sanders</t>
  </si>
  <si>
    <t>Malcolm Sinclair</t>
  </si>
  <si>
    <t>Willkox</t>
  </si>
  <si>
    <t>Gox</t>
  </si>
  <si>
    <t>John Bradbury</t>
  </si>
  <si>
    <t>Leandra Gale</t>
  </si>
  <si>
    <t>Cadetten</t>
  </si>
  <si>
    <t>T'Aloviks</t>
  </si>
  <si>
    <t>Jack Hardfield</t>
  </si>
  <si>
    <t>Leit. ENG</t>
  </si>
  <si>
    <t>Stellv. Leit. ENG</t>
  </si>
  <si>
    <t>Rebecca MacGregor</t>
  </si>
  <si>
    <t>SCPO</t>
  </si>
  <si>
    <t>Hal Harrison</t>
  </si>
  <si>
    <t>Decker</t>
  </si>
  <si>
    <t>Beta &amp; Gamma</t>
  </si>
  <si>
    <t>Karl von Hochstein</t>
  </si>
  <si>
    <t>Richard Crenna</t>
  </si>
  <si>
    <t>Maddigan</t>
  </si>
  <si>
    <t>Petter Süll</t>
  </si>
  <si>
    <t>Xanthara Hawkins</t>
  </si>
  <si>
    <t>S'Vek O'Fionnagain</t>
  </si>
  <si>
    <t>Nicole Hoover</t>
  </si>
  <si>
    <t>Ian McCarthy</t>
  </si>
  <si>
    <t>April Wallace</t>
  </si>
  <si>
    <t>Hak'mp</t>
  </si>
  <si>
    <t>Isen</t>
  </si>
  <si>
    <t>John Caldwell</t>
  </si>
  <si>
    <t>Sarah Dexter</t>
  </si>
  <si>
    <t>Alexander Nox</t>
  </si>
  <si>
    <t>Leit. MED</t>
  </si>
  <si>
    <t>Melissa Winters</t>
  </si>
  <si>
    <t>Stellv. Leit. MED</t>
  </si>
  <si>
    <t>Skadi Raton</t>
  </si>
  <si>
    <t>Leit. Gamma OPS</t>
  </si>
  <si>
    <t>Leit. Gamma MED</t>
  </si>
  <si>
    <t>Jara Chayen</t>
  </si>
  <si>
    <t>Se'eth</t>
  </si>
  <si>
    <t>Velta-Laerke Soerensen</t>
  </si>
  <si>
    <t>Deirdre O'Riordan</t>
  </si>
  <si>
    <t>Tala</t>
  </si>
  <si>
    <t>Steven Tyler</t>
  </si>
  <si>
    <t>Keller</t>
  </si>
  <si>
    <t>Christopher An Baker</t>
  </si>
  <si>
    <t>Jaqueline Dupree</t>
  </si>
  <si>
    <t>Oceana Waters</t>
  </si>
  <si>
    <t>Nominalstärke</t>
  </si>
  <si>
    <t>COU</t>
  </si>
  <si>
    <t>Silok</t>
  </si>
  <si>
    <t>Leit. SCI / 2nd Off.</t>
  </si>
  <si>
    <t>Shakri</t>
  </si>
  <si>
    <t>Stellv. Leit. SCI</t>
  </si>
  <si>
    <t>Steven Castle</t>
  </si>
  <si>
    <t>Charlotte Mendel</t>
  </si>
  <si>
    <t>John McKenzie</t>
  </si>
  <si>
    <t>Khaiell Carter</t>
  </si>
  <si>
    <t>Quierrah</t>
  </si>
  <si>
    <t>Konani Juva</t>
  </si>
  <si>
    <t>Dante Ekström</t>
  </si>
  <si>
    <t>Eljia</t>
  </si>
  <si>
    <t>Merit Fitschen</t>
  </si>
  <si>
    <t>Eshana</t>
  </si>
  <si>
    <t>Ozzo</t>
  </si>
  <si>
    <t>Hannah Peters</t>
  </si>
  <si>
    <t>Daniela Oliwav</t>
  </si>
  <si>
    <t>Kadett</t>
  </si>
  <si>
    <t>John van Croy</t>
  </si>
  <si>
    <t>Lilia Tae</t>
  </si>
  <si>
    <t>Leit. COU</t>
  </si>
  <si>
    <t>X'oos Batreii</t>
  </si>
  <si>
    <t>Anna Ivanova</t>
  </si>
  <si>
    <t>Zephir 23</t>
  </si>
  <si>
    <t>Mary Ann Parker</t>
  </si>
  <si>
    <t>Madeleine Nati</t>
  </si>
  <si>
    <t>Powwow</t>
  </si>
  <si>
    <t>Terminsekretärin COU</t>
  </si>
  <si>
    <t>Manon</t>
  </si>
  <si>
    <t>Keela de Boer</t>
  </si>
  <si>
    <t>Zivilist</t>
  </si>
  <si>
    <t>Zivilisten</t>
  </si>
  <si>
    <t>El-Aurianer</t>
  </si>
  <si>
    <t>Betazoid</t>
  </si>
  <si>
    <t>Ornaraner</t>
  </si>
  <si>
    <t>Auraner</t>
  </si>
  <si>
    <t>Romulaner</t>
  </si>
  <si>
    <t>Deltaner</t>
  </si>
  <si>
    <t>Efrosianer</t>
  </si>
  <si>
    <t>Napeaner</t>
  </si>
  <si>
    <t>Mischlinge:</t>
  </si>
  <si>
    <t>Orioner</t>
  </si>
  <si>
    <t>Denobulaner</t>
  </si>
  <si>
    <t>Venta</t>
  </si>
  <si>
    <t>Offiziere</t>
  </si>
  <si>
    <t>Unteroffiziere</t>
  </si>
  <si>
    <t>% immer bezogen auf gesamt Bezugsgruppe</t>
  </si>
  <si>
    <t>Testsumme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</si>
</sst>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/>
    <xf numFmtId="0" fontId="0" fillId="0" borderId="1" xfId="0" applyBorder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/>
    <xf numFmtId="164" fontId="0" fillId="0" borderId="0" xfId="0" applyNumberFormat="1" applyAlignment="1"/>
    <xf numFmtId="0" fontId="0" fillId="0" borderId="0" xfId="0" applyAlignment="1">
      <alignment horizontal="center" vertical="center"/>
    </xf>
    <xf numFmtId="9" fontId="0" fillId="0" borderId="0" xfId="1" applyFont="1" applyAlignment="1">
      <alignment vertical="center"/>
    </xf>
    <xf numFmtId="9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2">
    <cellStyle name="Prozent" xfId="1" builtinId="5"/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0000"/>
        </patternFill>
      </fill>
    </dxf>
    <dxf>
      <fill>
        <patternFill>
          <bgColor rgb="FFFFFF00"/>
        </patternFill>
      </fill>
    </dxf>
    <dxf>
      <fill>
        <patternFill>
          <bgColor rgb="FFE7E200"/>
        </patternFill>
      </fill>
    </dxf>
    <dxf>
      <fill>
        <patternFill>
          <bgColor rgb="FFE0FB3B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E0FB3B"/>
      <color rgb="FFE7E200"/>
      <color rgb="FF9C0808"/>
      <color rgb="FFCC0000"/>
      <color rgb="FFA5002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'Speziesanteile nach Abteilungen'!$D$1:$E$1</c:f>
              <c:strCache>
                <c:ptCount val="1"/>
                <c:pt idx="0">
                  <c:v>CMD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Abteilungen'!$E$4:$E$16</c:f>
              <c:numCache>
                <c:formatCode>0.0%</c:formatCode>
                <c:ptCount val="13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0.33333333333333331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'Speziesanteile nach Abteilungen'!$F$1:$G$1</c:f>
              <c:strCache>
                <c:ptCount val="1"/>
                <c:pt idx="0">
                  <c:v>CON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Abteilungen'!$G$4:$G$16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'Speziesanteile nach Abteilungen'!$H$1:$I$1</c:f>
              <c:strCache>
                <c:ptCount val="1"/>
                <c:pt idx="0">
                  <c:v>OPS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Abteilungen'!$I$4:$I$16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0.44444444444444442</c:v>
                </c:pt>
                <c:pt idx="6">
                  <c:v>0.1111111111111111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0.22222222222222221</c:v>
                </c:pt>
              </c:numCache>
            </c:numRef>
          </c:val>
        </c:ser>
        <c:ser>
          <c:idx val="3"/>
          <c:order val="3"/>
          <c:tx>
            <c:strRef>
              <c:f>'Speziesanteile nach Abteilungen'!$J$1:$K$1</c:f>
              <c:strCache>
                <c:ptCount val="1"/>
                <c:pt idx="0">
                  <c:v>SEC</c:v>
                </c:pt>
              </c:strCache>
            </c:strRef>
          </c:tx>
          <c:spPr>
            <a:solidFill>
              <a:srgbClr val="E7E2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Abteilungen'!$K$4:$K$16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4.1666666666666664E-2</c:v>
                </c:pt>
                <c:pt idx="3">
                  <c:v>0</c:v>
                </c:pt>
                <c:pt idx="4">
                  <c:v>4.1666666666666664E-2</c:v>
                </c:pt>
                <c:pt idx="5">
                  <c:v>0.58333333333333337</c:v>
                </c:pt>
                <c:pt idx="6">
                  <c:v>0</c:v>
                </c:pt>
                <c:pt idx="7">
                  <c:v>0</c:v>
                </c:pt>
                <c:pt idx="8">
                  <c:v>4.1666666666666664E-2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'Speziesanteile nach Abteilungen'!$L$1:$M$1</c:f>
              <c:strCache>
                <c:ptCount val="1"/>
                <c:pt idx="0">
                  <c:v>ENG</c:v>
                </c:pt>
              </c:strCache>
            </c:strRef>
          </c:tx>
          <c:spPr>
            <a:solidFill>
              <a:srgbClr val="E0FB3B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Abteilungen'!$M$4:$M$16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0.55555555555555558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5.5555555555555552E-2</c:v>
                </c:pt>
                <c:pt idx="11">
                  <c:v>0.22222222222222221</c:v>
                </c:pt>
                <c:pt idx="12">
                  <c:v>0.16666666666666666</c:v>
                </c:pt>
              </c:numCache>
            </c:numRef>
          </c:val>
        </c:ser>
        <c:ser>
          <c:idx val="5"/>
          <c:order val="5"/>
          <c:tx>
            <c:strRef>
              <c:f>'Speziesanteile nach Abteilungen'!$N$1:$O$1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Abteilungen'!$O$4:$O$16</c:f>
              <c:numCache>
                <c:formatCode>0.0%</c:formatCode>
                <c:ptCount val="13"/>
                <c:pt idx="0">
                  <c:v>7.6923076923076927E-2</c:v>
                </c:pt>
                <c:pt idx="1">
                  <c:v>0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0.46153846153846156</c:v>
                </c:pt>
                <c:pt idx="6">
                  <c:v>0</c:v>
                </c:pt>
                <c:pt idx="7">
                  <c:v>7.6923076923076927E-2</c:v>
                </c:pt>
                <c:pt idx="8">
                  <c:v>0</c:v>
                </c:pt>
                <c:pt idx="9">
                  <c:v>0</c:v>
                </c:pt>
                <c:pt idx="10">
                  <c:v>0.15384615384615385</c:v>
                </c:pt>
                <c:pt idx="11">
                  <c:v>0.15384615384615385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'Speziesanteile nach Abteilungen'!$P$1:$Q$1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Abteilungen'!$Q$4:$Q$16</c:f>
              <c:numCache>
                <c:formatCode>0.0%</c:formatCode>
                <c:ptCount val="13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6.25E-2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6.25E-2</c:v>
                </c:pt>
                <c:pt idx="8">
                  <c:v>0</c:v>
                </c:pt>
                <c:pt idx="9">
                  <c:v>0</c:v>
                </c:pt>
                <c:pt idx="10">
                  <c:v>6.25E-2</c:v>
                </c:pt>
                <c:pt idx="11">
                  <c:v>6.25E-2</c:v>
                </c:pt>
                <c:pt idx="12">
                  <c:v>0.125</c:v>
                </c:pt>
              </c:numCache>
            </c:numRef>
          </c:val>
        </c:ser>
        <c:ser>
          <c:idx val="7"/>
          <c:order val="7"/>
          <c:tx>
            <c:strRef>
              <c:f>'Speziesanteile nach Abteilungen'!$R$1:$S$1</c:f>
              <c:strCache>
                <c:ptCount val="1"/>
                <c:pt idx="0">
                  <c:v>COU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Abteilungen'!$S$4:$S$16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0.2857142857142857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0.14285714285714285</c:v>
                </c:pt>
                <c:pt idx="10">
                  <c:v>0</c:v>
                </c:pt>
                <c:pt idx="11">
                  <c:v>0.14285714285714285</c:v>
                </c:pt>
                <c:pt idx="12">
                  <c:v>0.42857142857142855</c:v>
                </c:pt>
              </c:numCache>
            </c:numRef>
          </c:val>
        </c:ser>
        <c:ser>
          <c:idx val="8"/>
          <c:order val="8"/>
          <c:tx>
            <c:strRef>
              <c:f>'Speziesanteile nach Abteilungen'!$T$1:$U$1</c:f>
              <c:strCache>
                <c:ptCount val="1"/>
                <c:pt idx="0">
                  <c:v>Zivilisten</c:v>
                </c:pt>
              </c:strCache>
            </c:strRef>
          </c:tx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Abteilungen'!$U$4:$U$16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</c:numCache>
            </c:numRef>
          </c:val>
        </c:ser>
        <c:ser>
          <c:idx val="9"/>
          <c:order val="9"/>
          <c:tx>
            <c:strRef>
              <c:f>'Speziesanteile nach Abteilungen'!$B$1:$C$1</c:f>
              <c:strCache>
                <c:ptCount val="1"/>
                <c:pt idx="0">
                  <c:v>Gesamt </c:v>
                </c:pt>
              </c:strCache>
            </c:strRef>
          </c:tx>
          <c:val>
            <c:numRef>
              <c:f>'Speziesanteile nach Abteilungen'!$C$4:$C$16</c:f>
              <c:numCache>
                <c:formatCode>0.0%</c:formatCode>
                <c:ptCount val="13"/>
                <c:pt idx="0">
                  <c:v>2.0618556701030927E-2</c:v>
                </c:pt>
                <c:pt idx="1">
                  <c:v>2.0618556701030927E-2</c:v>
                </c:pt>
                <c:pt idx="2">
                  <c:v>2.0618556701030927E-2</c:v>
                </c:pt>
                <c:pt idx="3">
                  <c:v>1.0309278350515464E-2</c:v>
                </c:pt>
                <c:pt idx="4">
                  <c:v>2.0618556701030927E-2</c:v>
                </c:pt>
                <c:pt idx="5">
                  <c:v>0.50515463917525771</c:v>
                </c:pt>
                <c:pt idx="6">
                  <c:v>1.0309278350515464E-2</c:v>
                </c:pt>
                <c:pt idx="7">
                  <c:v>3.0927835051546393E-2</c:v>
                </c:pt>
                <c:pt idx="8">
                  <c:v>2.0618556701030927E-2</c:v>
                </c:pt>
                <c:pt idx="9">
                  <c:v>1.0309278350515464E-2</c:v>
                </c:pt>
                <c:pt idx="10">
                  <c:v>6.1855670103092786E-2</c:v>
                </c:pt>
                <c:pt idx="11">
                  <c:v>0.14432989690721648</c:v>
                </c:pt>
                <c:pt idx="12">
                  <c:v>0.12371134020618557</c:v>
                </c:pt>
              </c:numCache>
            </c:numRef>
          </c:val>
        </c:ser>
        <c:axId val="55329920"/>
        <c:axId val="55331456"/>
      </c:barChart>
      <c:catAx>
        <c:axId val="55329920"/>
        <c:scaling>
          <c:orientation val="minMax"/>
        </c:scaling>
        <c:axPos val="b"/>
        <c:tickLblPos val="nextTo"/>
        <c:crossAx val="55331456"/>
        <c:crosses val="autoZero"/>
        <c:auto val="1"/>
        <c:lblAlgn val="ctr"/>
        <c:lblOffset val="100"/>
      </c:catAx>
      <c:valAx>
        <c:axId val="55331456"/>
        <c:scaling>
          <c:orientation val="minMax"/>
        </c:scaling>
        <c:axPos val="l"/>
        <c:majorGridlines/>
        <c:numFmt formatCode="0.0%" sourceLinked="1"/>
        <c:tickLblPos val="nextTo"/>
        <c:crossAx val="5532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stacked"/>
        <c:ser>
          <c:idx val="0"/>
          <c:order val="0"/>
          <c:tx>
            <c:strRef>
              <c:f>'Speziesanteile nach Abteilungen'!$D$1:$E$1</c:f>
              <c:strCache>
                <c:ptCount val="1"/>
                <c:pt idx="0">
                  <c:v>CMD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Abteilungen'!$D$4:$D$16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'Speziesanteile nach Abteilungen'!$F$1:$G$1</c:f>
              <c:strCache>
                <c:ptCount val="1"/>
                <c:pt idx="0">
                  <c:v>CON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Abteilungen'!$F$4:$F$16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'Speziesanteile nach Abteilungen'!$H$1:$I$1</c:f>
              <c:strCache>
                <c:ptCount val="1"/>
                <c:pt idx="0">
                  <c:v>OPS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Abteilungen'!$H$4:$H$16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strRef>
              <c:f>'Speziesanteile nach Abteilungen'!$J$1:$K$1</c:f>
              <c:strCache>
                <c:ptCount val="1"/>
                <c:pt idx="0">
                  <c:v>SEC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Abteilungen'!$J$4:$J$16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</c:ser>
        <c:ser>
          <c:idx val="4"/>
          <c:order val="4"/>
          <c:tx>
            <c:strRef>
              <c:f>'Speziesanteile nach Abteilungen'!$L$1:$M$1</c:f>
              <c:strCache>
                <c:ptCount val="1"/>
                <c:pt idx="0">
                  <c:v>ENG</c:v>
                </c:pt>
              </c:strCache>
            </c:strRef>
          </c:tx>
          <c:spPr>
            <a:solidFill>
              <a:srgbClr val="E0FB3B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Abteilungen'!$L$4:$L$16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</c:ser>
        <c:ser>
          <c:idx val="5"/>
          <c:order val="5"/>
          <c:tx>
            <c:strRef>
              <c:f>'Speziesanteile nach Abteilungen'!$N$1:$O$1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Abteilungen'!$N$4:$N$16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'Speziesanteile nach Abteilungen'!$P$1:$Q$1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Abteilungen'!$P$4:$P$16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ser>
          <c:idx val="7"/>
          <c:order val="7"/>
          <c:tx>
            <c:strRef>
              <c:f>'Speziesanteile nach Abteilungen'!$R$1:$S$1</c:f>
              <c:strCache>
                <c:ptCount val="1"/>
                <c:pt idx="0">
                  <c:v>COU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Abteilungen'!$R$4:$R$16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</c:numCache>
            </c:numRef>
          </c:val>
        </c:ser>
        <c:ser>
          <c:idx val="8"/>
          <c:order val="8"/>
          <c:tx>
            <c:strRef>
              <c:f>'Speziesanteile nach Abteilungen'!$T$1:$U$1</c:f>
              <c:strCache>
                <c:ptCount val="1"/>
                <c:pt idx="0">
                  <c:v>Zivilisten</c:v>
                </c:pt>
              </c:strCache>
            </c:strRef>
          </c:tx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Abteilungen'!$T$4:$T$16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overlap val="100"/>
        <c:axId val="55660928"/>
        <c:axId val="55662464"/>
      </c:barChart>
      <c:catAx>
        <c:axId val="55660928"/>
        <c:scaling>
          <c:orientation val="maxMin"/>
        </c:scaling>
        <c:axPos val="l"/>
        <c:tickLblPos val="nextTo"/>
        <c:crossAx val="55662464"/>
        <c:crosses val="autoZero"/>
        <c:auto val="1"/>
        <c:lblAlgn val="ctr"/>
        <c:lblOffset val="100"/>
      </c:catAx>
      <c:valAx>
        <c:axId val="55662464"/>
        <c:scaling>
          <c:orientation val="minMax"/>
        </c:scaling>
        <c:axPos val="t"/>
        <c:majorGridlines/>
        <c:numFmt formatCode="General" sourceLinked="1"/>
        <c:tickLblPos val="nextTo"/>
        <c:crossAx val="55660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percentStacked"/>
        <c:ser>
          <c:idx val="0"/>
          <c:order val="0"/>
          <c:tx>
            <c:strRef>
              <c:f>'Speziesanteile nach Abteilungen'!$D$1:$E$1</c:f>
              <c:strCache>
                <c:ptCount val="1"/>
                <c:pt idx="0">
                  <c:v>CMD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Abteilungen'!$D$4:$D$16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'Speziesanteile nach Abteilungen'!$F$1:$G$1</c:f>
              <c:strCache>
                <c:ptCount val="1"/>
                <c:pt idx="0">
                  <c:v>CON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Abteilungen'!$F$4:$F$16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'Speziesanteile nach Abteilungen'!$H$1:$I$1</c:f>
              <c:strCache>
                <c:ptCount val="1"/>
                <c:pt idx="0">
                  <c:v>OPS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Abteilungen'!$H$4:$H$16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strRef>
              <c:f>'Speziesanteile nach Abteilungen'!$J$1:$K$1</c:f>
              <c:strCache>
                <c:ptCount val="1"/>
                <c:pt idx="0">
                  <c:v>SEC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Abteilungen'!$J$4:$J$16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</c:ser>
        <c:ser>
          <c:idx val="4"/>
          <c:order val="4"/>
          <c:tx>
            <c:strRef>
              <c:f>'Speziesanteile nach Abteilungen'!$L$1:$M$1</c:f>
              <c:strCache>
                <c:ptCount val="1"/>
                <c:pt idx="0">
                  <c:v>ENG</c:v>
                </c:pt>
              </c:strCache>
            </c:strRef>
          </c:tx>
          <c:spPr>
            <a:solidFill>
              <a:srgbClr val="E0FB3B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Abteilungen'!$L$4:$L$16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</c:ser>
        <c:ser>
          <c:idx val="5"/>
          <c:order val="5"/>
          <c:tx>
            <c:strRef>
              <c:f>'Speziesanteile nach Abteilungen'!$N$1:$O$1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Abteilungen'!$N$4:$N$16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'Speziesanteile nach Abteilungen'!$P$1:$Q$1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Abteilungen'!$P$4:$P$16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ser>
          <c:idx val="7"/>
          <c:order val="7"/>
          <c:tx>
            <c:strRef>
              <c:f>'Speziesanteile nach Abteilungen'!$R$1:$S$1</c:f>
              <c:strCache>
                <c:ptCount val="1"/>
                <c:pt idx="0">
                  <c:v>COU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Abteilungen'!$R$4:$R$16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</c:numCache>
            </c:numRef>
          </c:val>
        </c:ser>
        <c:ser>
          <c:idx val="8"/>
          <c:order val="8"/>
          <c:tx>
            <c:strRef>
              <c:f>'Speziesanteile nach Abteilungen'!$T$1:$U$1</c:f>
              <c:strCache>
                <c:ptCount val="1"/>
                <c:pt idx="0">
                  <c:v>Zivilisten</c:v>
                </c:pt>
              </c:strCache>
            </c:strRef>
          </c:tx>
          <c:cat>
            <c:strRef>
              <c:f>'Speziesanteile nach Abteilungen'!$A$4:$A$16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Abteilungen'!$T$4:$T$16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overlap val="100"/>
        <c:axId val="57294848"/>
        <c:axId val="57296384"/>
      </c:barChart>
      <c:catAx>
        <c:axId val="57294848"/>
        <c:scaling>
          <c:orientation val="maxMin"/>
        </c:scaling>
        <c:axPos val="l"/>
        <c:tickLblPos val="nextTo"/>
        <c:crossAx val="57296384"/>
        <c:crosses val="autoZero"/>
        <c:auto val="1"/>
        <c:lblAlgn val="ctr"/>
        <c:lblOffset val="100"/>
      </c:catAx>
      <c:valAx>
        <c:axId val="57296384"/>
        <c:scaling>
          <c:orientation val="minMax"/>
        </c:scaling>
        <c:axPos val="t"/>
        <c:majorGridlines/>
        <c:numFmt formatCode="0%" sourceLinked="1"/>
        <c:tickLblPos val="nextTo"/>
        <c:crossAx val="57294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'Speziesanteile nach Abteilungen'!$A$4</c:f>
              <c:strCache>
                <c:ptCount val="1"/>
                <c:pt idx="0">
                  <c:v>Andorianer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Abteilungen'!$C$4,'Speziesanteile nach Abteilungen'!$E$4,'Speziesanteile nach Abteilungen'!$G$4,'Speziesanteile nach Abteilungen'!$I$4,'Speziesanteile nach Abteilungen'!$K$4,'Speziesanteile nach Abteilungen'!$M$4,'Speziesanteile nach Abteilungen'!$O$4,'Speziesanteile nach Abteilungen'!$Q$4,'Speziesanteile nach Abteilungen'!$S$4)</c:f>
              <c:numCache>
                <c:formatCode>0.0%</c:formatCode>
                <c:ptCount val="9"/>
                <c:pt idx="0">
                  <c:v>2.0618556701030927E-2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7.6923076923076927E-2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'Speziesanteile nach Abteilungen'!$A$5</c:f>
              <c:strCache>
                <c:ptCount val="1"/>
                <c:pt idx="0">
                  <c:v>Auraner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Abteilungen'!$C$5,'Speziesanteile nach Abteilungen'!$E$5,'Speziesanteile nach Abteilungen'!$G$5,'Speziesanteile nach Abteilungen'!$I$5,'Speziesanteile nach Abteilungen'!$K$5,'Speziesanteile nach Abteilungen'!$M$5,'Speziesanteile nach Abteilungen'!$O$5,'Speziesanteile nach Abteilungen'!$Q$5,'Speziesanteile nach Abteilungen'!$S$5)</c:f>
              <c:numCache>
                <c:formatCode>0.0%</c:formatCode>
                <c:ptCount val="9"/>
                <c:pt idx="0">
                  <c:v>2.0618556701030927E-2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0.125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'Speziesanteile nach Abteilungen'!$A$6</c:f>
              <c:strCache>
                <c:ptCount val="1"/>
                <c:pt idx="0">
                  <c:v>Bajoraner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Abteilungen'!$C$6,'Speziesanteile nach Abteilungen'!$E$6,'Speziesanteile nach Abteilungen'!$G$6,'Speziesanteile nach Abteilungen'!$I$6,'Speziesanteile nach Abteilungen'!$K$6,'Speziesanteile nach Abteilungen'!$M$6,'Speziesanteile nach Abteilungen'!$O$6,'Speziesanteile nach Abteilungen'!$Q$6,'Speziesanteile nach Abteilungen'!$S$6)</c:f>
              <c:numCache>
                <c:formatCode>0.0%</c:formatCode>
                <c:ptCount val="9"/>
                <c:pt idx="0">
                  <c:v>2.0618556701030927E-2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4.1666666666666664E-2</c:v>
                </c:pt>
                <c:pt idx="5">
                  <c:v>0</c:v>
                </c:pt>
                <c:pt idx="6">
                  <c:v>7.6923076923076927E-2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'Speziesanteile nach Abteilungen'!$A$7</c:f>
              <c:strCache>
                <c:ptCount val="1"/>
                <c:pt idx="0">
                  <c:v>Denobulaner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Abteilungen'!$C$7,'Speziesanteile nach Abteilungen'!$E$7,'Speziesanteile nach Abteilungen'!$G$7,'Speziesanteile nach Abteilungen'!$I$7,'Speziesanteile nach Abteilungen'!$K$7,'Speziesanteile nach Abteilungen'!$M$7,'Speziesanteile nach Abteilungen'!$O$7,'Speziesanteile nach Abteilungen'!$Q$7,'Speziesanteile nach Abteilungen'!$S$7)</c:f>
              <c:numCache>
                <c:formatCode>0.0%</c:formatCode>
                <c:ptCount val="9"/>
                <c:pt idx="0">
                  <c:v>1.0309278350515464E-2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6.25E-2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'Speziesanteile nach Abteilungen'!$A$8</c:f>
              <c:strCache>
                <c:ptCount val="1"/>
                <c:pt idx="0">
                  <c:v>El-Aurianer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Abteilungen'!$C$8,'Speziesanteile nach Abteilungen'!$E$8,'Speziesanteile nach Abteilungen'!$G$8,'Speziesanteile nach Abteilungen'!$I$8,'Speziesanteile nach Abteilungen'!$K$8,'Speziesanteile nach Abteilungen'!$M$8,'Speziesanteile nach Abteilungen'!$O$8,'Speziesanteile nach Abteilungen'!$Q$8,'Speziesanteile nach Abteilungen'!$S$8)</c:f>
              <c:numCache>
                <c:formatCode>0.0%</c:formatCode>
                <c:ptCount val="9"/>
                <c:pt idx="0">
                  <c:v>2.0618556701030927E-2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'Speziesanteile nach Abteilungen'!$A$9</c:f>
              <c:strCache>
                <c:ptCount val="1"/>
                <c:pt idx="0">
                  <c:v>Mensch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Abteilungen'!$C$9,'Speziesanteile nach Abteilungen'!$E$9,'Speziesanteile nach Abteilungen'!$G$9,'Speziesanteile nach Abteilungen'!$I$9,'Speziesanteile nach Abteilungen'!$K$9,'Speziesanteile nach Abteilungen'!$M$9,'Speziesanteile nach Abteilungen'!$O$9,'Speziesanteile nach Abteilungen'!$Q$9,'Speziesanteile nach Abteilungen'!$S$9)</c:f>
              <c:numCache>
                <c:formatCode>0.0%</c:formatCode>
                <c:ptCount val="9"/>
                <c:pt idx="0">
                  <c:v>0.50515463917525771</c:v>
                </c:pt>
                <c:pt idx="1">
                  <c:v>0.33333333333333331</c:v>
                </c:pt>
                <c:pt idx="2">
                  <c:v>0.8</c:v>
                </c:pt>
                <c:pt idx="3">
                  <c:v>0.44444444444444442</c:v>
                </c:pt>
                <c:pt idx="4">
                  <c:v>0.58333333333333337</c:v>
                </c:pt>
                <c:pt idx="5">
                  <c:v>0.55555555555555558</c:v>
                </c:pt>
                <c:pt idx="6">
                  <c:v>0.46153846153846156</c:v>
                </c:pt>
                <c:pt idx="7">
                  <c:v>0.5</c:v>
                </c:pt>
                <c:pt idx="8">
                  <c:v>0.2857142857142857</c:v>
                </c:pt>
              </c:numCache>
            </c:numRef>
          </c:val>
        </c:ser>
        <c:ser>
          <c:idx val="6"/>
          <c:order val="6"/>
          <c:tx>
            <c:strRef>
              <c:f>'Speziesanteile nach Abteilungen'!$A$10</c:f>
              <c:strCache>
                <c:ptCount val="1"/>
                <c:pt idx="0">
                  <c:v>Orioner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Abteilungen'!$C$10,'Speziesanteile nach Abteilungen'!$E$10,'Speziesanteile nach Abteilungen'!$G$10,'Speziesanteile nach Abteilungen'!$I$10,'Speziesanteile nach Abteilungen'!$K$10,'Speziesanteile nach Abteilungen'!$M$10,'Speziesanteile nach Abteilungen'!$O$10,'Speziesanteile nach Abteilungen'!$Q$10,'Speziesanteile nach Abteilungen'!$S$10)</c:f>
              <c:numCache>
                <c:formatCode>0.0%</c:formatCode>
                <c:ptCount val="9"/>
                <c:pt idx="0">
                  <c:v>1.0309278350515464E-2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'Speziesanteile nach Abteilungen'!$A$11</c:f>
              <c:strCache>
                <c:ptCount val="1"/>
                <c:pt idx="0">
                  <c:v>Risaner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Abteilungen'!$C$11,'Speziesanteile nach Abteilungen'!$E$11,'Speziesanteile nach Abteilungen'!$G$11,'Speziesanteile nach Abteilungen'!$I$11,'Speziesanteile nach Abteilungen'!$K$11,'Speziesanteile nach Abteilungen'!$M$11,'Speziesanteile nach Abteilungen'!$O$11,'Speziesanteile nach Abteilungen'!$Q$11,'Speziesanteile nach Abteilungen'!$S$11)</c:f>
              <c:numCache>
                <c:formatCode>0.0%</c:formatCode>
                <c:ptCount val="9"/>
                <c:pt idx="0">
                  <c:v>3.0927835051546393E-2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7.6923076923076927E-2</c:v>
                </c:pt>
                <c:pt idx="7">
                  <c:v>6.25E-2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'Speziesanteile nach Abteilungen'!$A$12</c:f>
              <c:strCache>
                <c:ptCount val="1"/>
                <c:pt idx="0">
                  <c:v>Trill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Abteilungen'!$C$12,'Speziesanteile nach Abteilungen'!$E$12,'Speziesanteile nach Abteilungen'!$G$12,'Speziesanteile nach Abteilungen'!$I$12,'Speziesanteile nach Abteilungen'!$K$12,'Speziesanteile nach Abteilungen'!$M$12,'Speziesanteile nach Abteilungen'!$O$12,'Speziesanteile nach Abteilungen'!$Q$12,'Speziesanteile nach Abteilungen'!$S$12)</c:f>
              <c:numCache>
                <c:formatCode>0.0%</c:formatCode>
                <c:ptCount val="9"/>
                <c:pt idx="0">
                  <c:v>2.0618556701030927E-2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4.1666666666666664E-2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'Speziesanteile nach Abteilungen'!$A$13</c:f>
              <c:strCache>
                <c:ptCount val="1"/>
                <c:pt idx="0">
                  <c:v>Venta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Abteilungen'!$C$13,'Speziesanteile nach Abteilungen'!$E$13,'Speziesanteile nach Abteilungen'!$G$13,'Speziesanteile nach Abteilungen'!$I$13,'Speziesanteile nach Abteilungen'!$K$13,'Speziesanteile nach Abteilungen'!$M$13,'Speziesanteile nach Abteilungen'!$O$13,'Speziesanteile nach Abteilungen'!$Q$13,'Speziesanteile nach Abteilungen'!$S$13)</c:f>
              <c:numCache>
                <c:formatCode>0.0%</c:formatCode>
                <c:ptCount val="9"/>
                <c:pt idx="0">
                  <c:v>1.0309278350515464E-2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</c:numCache>
            </c:numRef>
          </c:val>
        </c:ser>
        <c:ser>
          <c:idx val="10"/>
          <c:order val="10"/>
          <c:tx>
            <c:strRef>
              <c:f>'Speziesanteile nach Abteilungen'!$A$14</c:f>
              <c:strCache>
                <c:ptCount val="1"/>
                <c:pt idx="0">
                  <c:v>Vulkanier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Abteilungen'!$C$14,'Speziesanteile nach Abteilungen'!$E$14,'Speziesanteile nach Abteilungen'!$G$14,'Speziesanteile nach Abteilungen'!$I$14,'Speziesanteile nach Abteilungen'!$K$14,'Speziesanteile nach Abteilungen'!$M$14,'Speziesanteile nach Abteilungen'!$O$14,'Speziesanteile nach Abteilungen'!$Q$14,'Speziesanteile nach Abteilungen'!$S$14)</c:f>
              <c:numCache>
                <c:formatCode>0.0%</c:formatCode>
                <c:ptCount val="9"/>
                <c:pt idx="0">
                  <c:v>6.1855670103092786E-2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5.5555555555555552E-2</c:v>
                </c:pt>
                <c:pt idx="6">
                  <c:v>0.15384615384615385</c:v>
                </c:pt>
                <c:pt idx="7">
                  <c:v>6.25E-2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'Speziesanteile nach Abteilungen'!$A$15</c:f>
              <c:strCache>
                <c:ptCount val="1"/>
                <c:pt idx="0">
                  <c:v>Unbekannt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Abteilungen'!$C$15,'Speziesanteile nach Abteilungen'!$E$15,'Speziesanteile nach Abteilungen'!$G$15,'Speziesanteile nach Abteilungen'!$I$15,'Speziesanteile nach Abteilungen'!$K$15,'Speziesanteile nach Abteilungen'!$M$15,'Speziesanteile nach Abteilungen'!$O$15,'Speziesanteile nach Abteilungen'!$Q$15,'Speziesanteile nach Abteilungen'!$S$15)</c:f>
              <c:numCache>
                <c:formatCode>0.0%</c:formatCode>
                <c:ptCount val="9"/>
                <c:pt idx="0">
                  <c:v>0.14432989690721648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0.22222222222222221</c:v>
                </c:pt>
                <c:pt idx="6">
                  <c:v>0.15384615384615385</c:v>
                </c:pt>
                <c:pt idx="7">
                  <c:v>6.25E-2</c:v>
                </c:pt>
                <c:pt idx="8">
                  <c:v>0.14285714285714285</c:v>
                </c:pt>
              </c:numCache>
            </c:numRef>
          </c:val>
        </c:ser>
        <c:ser>
          <c:idx val="12"/>
          <c:order val="12"/>
          <c:tx>
            <c:strRef>
              <c:f>'Speziesanteile nach Abteilungen'!$A$16</c:f>
              <c:strCache>
                <c:ptCount val="1"/>
                <c:pt idx="0">
                  <c:v>Mischling</c:v>
                </c:pt>
              </c:strCache>
            </c:strRef>
          </c:tx>
          <c:cat>
            <c:strLit>
              <c:ptCount val="9"/>
              <c:pt idx="0">
                <c:v>Gesamt</c:v>
              </c:pt>
              <c:pt idx="1">
                <c:v>CMD</c:v>
              </c:pt>
              <c:pt idx="2">
                <c:v>CON</c:v>
              </c:pt>
              <c:pt idx="3">
                <c:v>OPS</c:v>
              </c:pt>
              <c:pt idx="4">
                <c:v>SEC</c:v>
              </c:pt>
              <c:pt idx="5">
                <c:v>ENG</c:v>
              </c:pt>
              <c:pt idx="6">
                <c:v>MED</c:v>
              </c:pt>
              <c:pt idx="7">
                <c:v>SCI</c:v>
              </c:pt>
              <c:pt idx="8">
                <c:v>COU</c:v>
              </c:pt>
            </c:strLit>
          </c:cat>
          <c:val>
            <c:numRef>
              <c:f>('Speziesanteile nach Abteilungen'!$C$16,'Speziesanteile nach Abteilungen'!$E$16,'Speziesanteile nach Abteilungen'!$G$16,'Speziesanteile nach Abteilungen'!$I$16,'Speziesanteile nach Abteilungen'!$K$16,'Speziesanteile nach Abteilungen'!$M$16,'Speziesanteile nach Abteilungen'!$O$16,'Speziesanteile nach Abteilungen'!$Q$16,'Speziesanteile nach Abteilungen'!$S$16)</c:f>
              <c:numCache>
                <c:formatCode>0.0%</c:formatCode>
                <c:ptCount val="9"/>
                <c:pt idx="0">
                  <c:v>0.12371134020618557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4.1666666666666664E-2</c:v>
                </c:pt>
                <c:pt idx="5">
                  <c:v>0.16666666666666666</c:v>
                </c:pt>
                <c:pt idx="6">
                  <c:v>0</c:v>
                </c:pt>
                <c:pt idx="7">
                  <c:v>0.125</c:v>
                </c:pt>
                <c:pt idx="8">
                  <c:v>0.42857142857142855</c:v>
                </c:pt>
              </c:numCache>
            </c:numRef>
          </c:val>
        </c:ser>
        <c:shape val="box"/>
        <c:axId val="57375360"/>
        <c:axId val="57393536"/>
        <c:axId val="0"/>
      </c:bar3DChart>
      <c:catAx>
        <c:axId val="57375360"/>
        <c:scaling>
          <c:orientation val="minMax"/>
        </c:scaling>
        <c:axPos val="b"/>
        <c:tickLblPos val="nextTo"/>
        <c:crossAx val="57393536"/>
        <c:crosses val="autoZero"/>
        <c:auto val="1"/>
        <c:lblAlgn val="ctr"/>
        <c:lblOffset val="100"/>
      </c:catAx>
      <c:valAx>
        <c:axId val="57393536"/>
        <c:scaling>
          <c:orientation val="minMax"/>
        </c:scaling>
        <c:axPos val="l"/>
        <c:majorGridlines/>
        <c:numFmt formatCode="0%" sourceLinked="1"/>
        <c:tickLblPos val="nextTo"/>
        <c:crossAx val="57375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percentStacked"/>
        <c:ser>
          <c:idx val="2"/>
          <c:order val="0"/>
          <c:tx>
            <c:v>Crewman</c:v>
          </c:tx>
          <c:cat>
            <c:strRef>
              <c:f>'Speziesanteile nach Rängen'!$A$4:$A$16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Rängen'!$G$4:$G$16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4.3478260869565216E-2</c:v>
                </c:pt>
                <c:pt idx="3">
                  <c:v>0</c:v>
                </c:pt>
                <c:pt idx="4">
                  <c:v>0</c:v>
                </c:pt>
                <c:pt idx="5">
                  <c:v>0.60869565217391308</c:v>
                </c:pt>
                <c:pt idx="6">
                  <c:v>0</c:v>
                </c:pt>
                <c:pt idx="7">
                  <c:v>4.3478260869565216E-2</c:v>
                </c:pt>
                <c:pt idx="8">
                  <c:v>4.3478260869565216E-2</c:v>
                </c:pt>
                <c:pt idx="9">
                  <c:v>0</c:v>
                </c:pt>
                <c:pt idx="10">
                  <c:v>0</c:v>
                </c:pt>
                <c:pt idx="11">
                  <c:v>0.17391304347826086</c:v>
                </c:pt>
                <c:pt idx="12">
                  <c:v>8.6956521739130432E-2</c:v>
                </c:pt>
              </c:numCache>
            </c:numRef>
          </c:val>
        </c:ser>
        <c:ser>
          <c:idx val="1"/>
          <c:order val="1"/>
          <c:tx>
            <c:strRef>
              <c:f>'Speziesanteile nach Rängen'!$D$1:$E$1</c:f>
              <c:strCache>
                <c:ptCount val="1"/>
                <c:pt idx="0">
                  <c:v>Unteroffiziere</c:v>
                </c:pt>
              </c:strCache>
            </c:strRef>
          </c:tx>
          <c:cat>
            <c:strRef>
              <c:f>'Speziesanteile nach Rängen'!$A$4:$A$16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Rängen'!$E$4:$E$16</c:f>
              <c:numCache>
                <c:formatCode>0.0%</c:formatCode>
                <c:ptCount val="13"/>
                <c:pt idx="0">
                  <c:v>0</c:v>
                </c:pt>
                <c:pt idx="1">
                  <c:v>2.564102564102564E-2</c:v>
                </c:pt>
                <c:pt idx="2">
                  <c:v>0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0.46153846153846156</c:v>
                </c:pt>
                <c:pt idx="6">
                  <c:v>0</c:v>
                </c:pt>
                <c:pt idx="7">
                  <c:v>2.564102564102564E-2</c:v>
                </c:pt>
                <c:pt idx="8">
                  <c:v>0</c:v>
                </c:pt>
                <c:pt idx="9">
                  <c:v>2.564102564102564E-2</c:v>
                </c:pt>
                <c:pt idx="10">
                  <c:v>5.128205128205128E-2</c:v>
                </c:pt>
                <c:pt idx="11">
                  <c:v>0.20512820512820512</c:v>
                </c:pt>
                <c:pt idx="12">
                  <c:v>0.15384615384615385</c:v>
                </c:pt>
              </c:numCache>
            </c:numRef>
          </c:val>
        </c:ser>
        <c:ser>
          <c:idx val="0"/>
          <c:order val="2"/>
          <c:tx>
            <c:strRef>
              <c:f>'Speziesanteile nach Rängen'!$B$1:$C$1</c:f>
              <c:strCache>
                <c:ptCount val="1"/>
                <c:pt idx="0">
                  <c:v>Offiziere</c:v>
                </c:pt>
              </c:strCache>
            </c:strRef>
          </c:tx>
          <c:cat>
            <c:strRef>
              <c:f>'Speziesanteile nach Rängen'!$A$4:$A$16</c:f>
              <c:strCache>
                <c:ptCount val="13"/>
                <c:pt idx="0">
                  <c:v>Andorianer</c:v>
                </c:pt>
                <c:pt idx="1">
                  <c:v>Auraner</c:v>
                </c:pt>
                <c:pt idx="2">
                  <c:v>Bajoraner</c:v>
                </c:pt>
                <c:pt idx="3">
                  <c:v>Denobulaner</c:v>
                </c:pt>
                <c:pt idx="4">
                  <c:v>El-Aurianer</c:v>
                </c:pt>
                <c:pt idx="5">
                  <c:v>Mensch</c:v>
                </c:pt>
                <c:pt idx="6">
                  <c:v>Orioner</c:v>
                </c:pt>
                <c:pt idx="7">
                  <c:v>Risaner</c:v>
                </c:pt>
                <c:pt idx="8">
                  <c:v>Trill</c:v>
                </c:pt>
                <c:pt idx="9">
                  <c:v>Venta</c:v>
                </c:pt>
                <c:pt idx="10">
                  <c:v>Vulkanier</c:v>
                </c:pt>
                <c:pt idx="11">
                  <c:v>Unbekannt</c:v>
                </c:pt>
                <c:pt idx="12">
                  <c:v>Mischling</c:v>
                </c:pt>
              </c:strCache>
            </c:strRef>
          </c:cat>
          <c:val>
            <c:numRef>
              <c:f>'Speziesanteile nach Rängen'!$C$4:$C$16</c:f>
              <c:numCache>
                <c:formatCode>0.0%</c:formatCode>
                <c:ptCount val="13"/>
                <c:pt idx="0">
                  <c:v>0.1</c:v>
                </c:pt>
                <c:pt idx="1">
                  <c:v>0.05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0.65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</c:v>
                </c:pt>
                <c:pt idx="10">
                  <c:v>0.2</c:v>
                </c:pt>
                <c:pt idx="11">
                  <c:v>0.05</c:v>
                </c:pt>
                <c:pt idx="12">
                  <c:v>0.1</c:v>
                </c:pt>
              </c:numCache>
            </c:numRef>
          </c:val>
        </c:ser>
        <c:shape val="box"/>
        <c:axId val="57415168"/>
        <c:axId val="57416704"/>
        <c:axId val="0"/>
      </c:bar3DChart>
      <c:catAx>
        <c:axId val="57415168"/>
        <c:scaling>
          <c:orientation val="minMax"/>
        </c:scaling>
        <c:axPos val="b"/>
        <c:tickLblPos val="nextTo"/>
        <c:crossAx val="57416704"/>
        <c:crosses val="autoZero"/>
        <c:auto val="1"/>
        <c:lblAlgn val="ctr"/>
        <c:lblOffset val="100"/>
      </c:catAx>
      <c:valAx>
        <c:axId val="57416704"/>
        <c:scaling>
          <c:orientation val="minMax"/>
        </c:scaling>
        <c:axPos val="l"/>
        <c:majorGridlines/>
        <c:numFmt formatCode="0%" sourceLinked="1"/>
        <c:tickLblPos val="nextTo"/>
        <c:crossAx val="57415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'Speziesanteile nach Rängen'!$A$4</c:f>
              <c:strCache>
                <c:ptCount val="1"/>
                <c:pt idx="0">
                  <c:v>Andorianer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Rängen'!$C$4,'Speziesanteile nach Rängen'!$E$4,'Speziesanteile nach Rängen'!$G$4)</c:f>
              <c:numCache>
                <c:formatCode>0.0%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'Speziesanteile nach Rängen'!$A$5</c:f>
              <c:strCache>
                <c:ptCount val="1"/>
                <c:pt idx="0">
                  <c:v>Auraner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Rängen'!$C$5,'Speziesanteile nach Rängen'!$E$5,'Speziesanteile nach Rängen'!$G$5)</c:f>
              <c:numCache>
                <c:formatCode>0.0%</c:formatCode>
                <c:ptCount val="3"/>
                <c:pt idx="0">
                  <c:v>0.05</c:v>
                </c:pt>
                <c:pt idx="1">
                  <c:v>2.564102564102564E-2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'Speziesanteile nach Rängen'!$A$6</c:f>
              <c:strCache>
                <c:ptCount val="1"/>
                <c:pt idx="0">
                  <c:v>Bajoraner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Rängen'!$C$6,'Speziesanteile nach Rängen'!$E$6,'Speziesanteile nach Rängen'!$G$6)</c:f>
              <c:numCache>
                <c:formatCode>0.0%</c:formatCode>
                <c:ptCount val="3"/>
                <c:pt idx="0">
                  <c:v>0.05</c:v>
                </c:pt>
                <c:pt idx="1">
                  <c:v>0</c:v>
                </c:pt>
                <c:pt idx="2">
                  <c:v>4.3478260869565216E-2</c:v>
                </c:pt>
              </c:numCache>
            </c:numRef>
          </c:val>
        </c:ser>
        <c:ser>
          <c:idx val="3"/>
          <c:order val="3"/>
          <c:tx>
            <c:strRef>
              <c:f>'Speziesanteile nach Rängen'!$A$7</c:f>
              <c:strCache>
                <c:ptCount val="1"/>
                <c:pt idx="0">
                  <c:v>Denobulaner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Rängen'!$C$7,'Speziesanteile nach Rängen'!$E$7,'Speziesanteile nach Rängen'!$G$7)</c:f>
              <c:numCache>
                <c:formatCode>0.0%</c:formatCode>
                <c:ptCount val="3"/>
                <c:pt idx="0">
                  <c:v>0</c:v>
                </c:pt>
                <c:pt idx="1">
                  <c:v>2.564102564102564E-2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'Speziesanteile nach Rängen'!$A$8</c:f>
              <c:strCache>
                <c:ptCount val="1"/>
                <c:pt idx="0">
                  <c:v>El-Aurianer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Rängen'!$C$8,'Speziesanteile nach Rängen'!$E$8,'Speziesanteile nach Rängen'!$G$8)</c:f>
              <c:numCache>
                <c:formatCode>0.0%</c:formatCode>
                <c:ptCount val="3"/>
                <c:pt idx="0">
                  <c:v>0</c:v>
                </c:pt>
                <c:pt idx="1">
                  <c:v>2.564102564102564E-2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'Speziesanteile nach Rängen'!$A$9</c:f>
              <c:strCache>
                <c:ptCount val="1"/>
                <c:pt idx="0">
                  <c:v>Mensch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Rängen'!$C$9,'Speziesanteile nach Rängen'!$E$9,'Speziesanteile nach Rängen'!$G$9)</c:f>
              <c:numCache>
                <c:formatCode>0.0%</c:formatCode>
                <c:ptCount val="3"/>
                <c:pt idx="0">
                  <c:v>0.65</c:v>
                </c:pt>
                <c:pt idx="1">
                  <c:v>0.46153846153846156</c:v>
                </c:pt>
                <c:pt idx="2">
                  <c:v>0.60869565217391308</c:v>
                </c:pt>
              </c:numCache>
            </c:numRef>
          </c:val>
        </c:ser>
        <c:ser>
          <c:idx val="6"/>
          <c:order val="6"/>
          <c:tx>
            <c:strRef>
              <c:f>'Speziesanteile nach Rängen'!$A$10</c:f>
              <c:strCache>
                <c:ptCount val="1"/>
                <c:pt idx="0">
                  <c:v>Orioner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Rängen'!$C$10,'Speziesanteile nach Rängen'!$E$10,'Speziesanteile nach Rängen'!$G$10)</c:f>
              <c:numCache>
                <c:formatCode>0.0%</c:formatCode>
                <c:ptCount val="3"/>
                <c:pt idx="0">
                  <c:v>0.05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'Speziesanteile nach Rängen'!$A$11</c:f>
              <c:strCache>
                <c:ptCount val="1"/>
                <c:pt idx="0">
                  <c:v>Risaner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Rängen'!$C$11,'Speziesanteile nach Rängen'!$E$11,'Speziesanteile nach Rängen'!$G$11)</c:f>
              <c:numCache>
                <c:formatCode>0.0%</c:formatCode>
                <c:ptCount val="3"/>
                <c:pt idx="0">
                  <c:v>0.05</c:v>
                </c:pt>
                <c:pt idx="1">
                  <c:v>2.564102564102564E-2</c:v>
                </c:pt>
                <c:pt idx="2">
                  <c:v>4.3478260869565216E-2</c:v>
                </c:pt>
              </c:numCache>
            </c:numRef>
          </c:val>
        </c:ser>
        <c:ser>
          <c:idx val="8"/>
          <c:order val="8"/>
          <c:tx>
            <c:strRef>
              <c:f>'Speziesanteile nach Rängen'!$A$12</c:f>
              <c:strCache>
                <c:ptCount val="1"/>
                <c:pt idx="0">
                  <c:v>Trill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Rängen'!$C$12,'Speziesanteile nach Rängen'!$E$12,'Speziesanteile nach Rängen'!$G$12)</c:f>
              <c:numCache>
                <c:formatCode>0.0%</c:formatCode>
                <c:ptCount val="3"/>
                <c:pt idx="0">
                  <c:v>0.05</c:v>
                </c:pt>
                <c:pt idx="1">
                  <c:v>0</c:v>
                </c:pt>
                <c:pt idx="2">
                  <c:v>4.3478260869565216E-2</c:v>
                </c:pt>
              </c:numCache>
            </c:numRef>
          </c:val>
        </c:ser>
        <c:ser>
          <c:idx val="9"/>
          <c:order val="9"/>
          <c:tx>
            <c:strRef>
              <c:f>'Speziesanteile nach Rängen'!$A$13</c:f>
              <c:strCache>
                <c:ptCount val="1"/>
                <c:pt idx="0">
                  <c:v>Venta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Rängen'!$C$13,'Speziesanteile nach Rängen'!$E$13,'Speziesanteile nach Rängen'!$G$13)</c:f>
              <c:numCache>
                <c:formatCode>0.0%</c:formatCode>
                <c:ptCount val="3"/>
                <c:pt idx="0">
                  <c:v>0</c:v>
                </c:pt>
                <c:pt idx="1">
                  <c:v>2.564102564102564E-2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'Speziesanteile nach Rängen'!$A$14</c:f>
              <c:strCache>
                <c:ptCount val="1"/>
                <c:pt idx="0">
                  <c:v>Vulkanier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Rängen'!$C$14,'Speziesanteile nach Rängen'!$E$14,'Speziesanteile nach Rängen'!$G$14)</c:f>
              <c:numCache>
                <c:formatCode>0.0%</c:formatCode>
                <c:ptCount val="3"/>
                <c:pt idx="0">
                  <c:v>0.2</c:v>
                </c:pt>
                <c:pt idx="1">
                  <c:v>5.128205128205128E-2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'Speziesanteile nach Rängen'!$A$15</c:f>
              <c:strCache>
                <c:ptCount val="1"/>
                <c:pt idx="0">
                  <c:v>Unbekannt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Rängen'!$C$15,'Speziesanteile nach Rängen'!$E$15,'Speziesanteile nach Rängen'!$G$15)</c:f>
              <c:numCache>
                <c:formatCode>0.0%</c:formatCode>
                <c:ptCount val="3"/>
                <c:pt idx="0">
                  <c:v>0.05</c:v>
                </c:pt>
                <c:pt idx="1">
                  <c:v>0.20512820512820512</c:v>
                </c:pt>
                <c:pt idx="2">
                  <c:v>0.17391304347826086</c:v>
                </c:pt>
              </c:numCache>
            </c:numRef>
          </c:val>
        </c:ser>
        <c:ser>
          <c:idx val="12"/>
          <c:order val="12"/>
          <c:tx>
            <c:strRef>
              <c:f>'Speziesanteile nach Rängen'!$A$16</c:f>
              <c:strCache>
                <c:ptCount val="1"/>
                <c:pt idx="0">
                  <c:v>Mischling</c:v>
                </c:pt>
              </c:strCache>
            </c:strRef>
          </c:tx>
          <c:cat>
            <c:strLit>
              <c:ptCount val="3"/>
              <c:pt idx="0">
                <c:v>Offiziere</c:v>
              </c:pt>
              <c:pt idx="1">
                <c:v>Unteroffiziere</c:v>
              </c:pt>
              <c:pt idx="2">
                <c:v>Crewman</c:v>
              </c:pt>
            </c:strLit>
          </c:cat>
          <c:val>
            <c:numRef>
              <c:f>('Speziesanteile nach Rängen'!$C$16,'Speziesanteile nach Rängen'!$E$16,'Speziesanteile nach Rängen'!$G$16)</c:f>
              <c:numCache>
                <c:formatCode>0.0%</c:formatCode>
                <c:ptCount val="3"/>
                <c:pt idx="0">
                  <c:v>0.1</c:v>
                </c:pt>
                <c:pt idx="1">
                  <c:v>0.15384615384615385</c:v>
                </c:pt>
                <c:pt idx="2">
                  <c:v>8.6956521739130432E-2</c:v>
                </c:pt>
              </c:numCache>
            </c:numRef>
          </c:val>
        </c:ser>
        <c:shape val="box"/>
        <c:axId val="60199296"/>
        <c:axId val="60200832"/>
        <c:axId val="0"/>
      </c:bar3DChart>
      <c:catAx>
        <c:axId val="60199296"/>
        <c:scaling>
          <c:orientation val="minMax"/>
        </c:scaling>
        <c:axPos val="b"/>
        <c:tickLblPos val="nextTo"/>
        <c:crossAx val="60200832"/>
        <c:crosses val="autoZero"/>
        <c:auto val="1"/>
        <c:lblAlgn val="ctr"/>
        <c:lblOffset val="100"/>
      </c:catAx>
      <c:valAx>
        <c:axId val="60200832"/>
        <c:scaling>
          <c:orientation val="minMax"/>
        </c:scaling>
        <c:axPos val="l"/>
        <c:majorGridlines/>
        <c:numFmt formatCode="0%" sourceLinked="1"/>
        <c:tickLblPos val="nextTo"/>
        <c:crossAx val="60199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409575</xdr:colOff>
      <xdr:row>25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495300</xdr:colOff>
      <xdr:row>41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742950</xdr:colOff>
      <xdr:row>26</xdr:row>
      <xdr:rowOff>152400</xdr:rowOff>
    </xdr:from>
    <xdr:to>
      <xdr:col>19</xdr:col>
      <xdr:colOff>476250</xdr:colOff>
      <xdr:row>41</xdr:row>
      <xdr:rowOff>38100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428624</xdr:colOff>
      <xdr:row>0</xdr:row>
      <xdr:rowOff>0</xdr:rowOff>
    </xdr:from>
    <xdr:to>
      <xdr:col>18</xdr:col>
      <xdr:colOff>723899</xdr:colOff>
      <xdr:row>25</xdr:row>
      <xdr:rowOff>85724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704850</xdr:colOff>
      <xdr:row>24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219074</xdr:colOff>
      <xdr:row>0</xdr:row>
      <xdr:rowOff>0</xdr:rowOff>
    </xdr:from>
    <xdr:to>
      <xdr:col>18</xdr:col>
      <xdr:colOff>304799</xdr:colOff>
      <xdr:row>24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workbookViewId="0">
      <selection activeCell="B99" sqref="B99"/>
    </sheetView>
  </sheetViews>
  <sheetFormatPr baseColWidth="10" defaultRowHeight="15"/>
  <cols>
    <col min="1" max="1" width="28.5703125" customWidth="1"/>
    <col min="2" max="3" width="14.28515625" customWidth="1"/>
    <col min="4" max="4" width="25.140625" bestFit="1" customWidth="1"/>
    <col min="5" max="5" width="22.140625" bestFit="1" customWidth="1"/>
    <col min="6" max="8" width="14.28515625" customWidth="1"/>
  </cols>
  <sheetData>
    <row r="1" spans="1:8" s="6" customFormat="1">
      <c r="A1" s="6" t="s">
        <v>0</v>
      </c>
      <c r="B1" s="6" t="s">
        <v>1</v>
      </c>
      <c r="C1" s="6" t="s">
        <v>26</v>
      </c>
      <c r="D1" s="6" t="s">
        <v>9</v>
      </c>
      <c r="E1" s="6" t="s">
        <v>14</v>
      </c>
      <c r="F1" s="6" t="s">
        <v>2</v>
      </c>
      <c r="G1" s="6" t="s">
        <v>64</v>
      </c>
      <c r="H1" s="6" t="s">
        <v>5</v>
      </c>
    </row>
    <row r="2" spans="1:8">
      <c r="A2" t="s">
        <v>3</v>
      </c>
      <c r="B2" t="s">
        <v>58</v>
      </c>
      <c r="C2" t="s">
        <v>27</v>
      </c>
      <c r="D2" t="s">
        <v>10</v>
      </c>
      <c r="E2" t="s">
        <v>15</v>
      </c>
      <c r="F2" t="s">
        <v>4</v>
      </c>
      <c r="H2" t="str">
        <f>IF(ISBLANK(G2),"","Ja")</f>
        <v/>
      </c>
    </row>
    <row r="3" spans="1:8">
      <c r="A3" t="s">
        <v>6</v>
      </c>
      <c r="B3" t="s">
        <v>58</v>
      </c>
      <c r="C3" t="s">
        <v>27</v>
      </c>
      <c r="D3" t="s">
        <v>11</v>
      </c>
      <c r="E3" t="s">
        <v>16</v>
      </c>
      <c r="F3" t="s">
        <v>7</v>
      </c>
      <c r="H3" t="str">
        <f t="shared" ref="H3:H66" si="0">IF(ISBLANK(G3),"","Ja")</f>
        <v/>
      </c>
    </row>
    <row r="4" spans="1:8">
      <c r="A4" t="s">
        <v>8</v>
      </c>
      <c r="B4" t="s">
        <v>58</v>
      </c>
      <c r="C4" t="s">
        <v>28</v>
      </c>
      <c r="D4" t="s">
        <v>12</v>
      </c>
      <c r="E4" t="s">
        <v>17</v>
      </c>
      <c r="F4" t="s">
        <v>13</v>
      </c>
      <c r="H4" t="str">
        <f t="shared" si="0"/>
        <v/>
      </c>
    </row>
    <row r="5" spans="1:8">
      <c r="A5" t="s">
        <v>18</v>
      </c>
      <c r="B5" t="s">
        <v>19</v>
      </c>
      <c r="C5" t="s">
        <v>27</v>
      </c>
      <c r="D5" t="s">
        <v>50</v>
      </c>
      <c r="E5" t="s">
        <v>20</v>
      </c>
      <c r="F5" t="s">
        <v>21</v>
      </c>
      <c r="H5" t="str">
        <f t="shared" si="0"/>
        <v/>
      </c>
    </row>
    <row r="6" spans="1:8">
      <c r="A6" t="s">
        <v>22</v>
      </c>
      <c r="B6" t="s">
        <v>19</v>
      </c>
      <c r="C6" t="s">
        <v>27</v>
      </c>
      <c r="D6" t="s">
        <v>51</v>
      </c>
      <c r="E6" t="s">
        <v>23</v>
      </c>
      <c r="F6" t="s">
        <v>13</v>
      </c>
      <c r="H6" t="str">
        <f t="shared" si="0"/>
        <v/>
      </c>
    </row>
    <row r="7" spans="1:8">
      <c r="A7" t="s">
        <v>24</v>
      </c>
      <c r="B7" t="s">
        <v>19</v>
      </c>
      <c r="C7" t="s">
        <v>27</v>
      </c>
      <c r="E7" t="s">
        <v>25</v>
      </c>
      <c r="F7" t="s">
        <v>13</v>
      </c>
      <c r="H7" t="str">
        <f t="shared" si="0"/>
        <v/>
      </c>
    </row>
    <row r="8" spans="1:8">
      <c r="A8" t="s">
        <v>29</v>
      </c>
      <c r="B8" t="s">
        <v>19</v>
      </c>
      <c r="C8" t="s">
        <v>30</v>
      </c>
      <c r="E8" t="s">
        <v>25</v>
      </c>
      <c r="F8" t="s">
        <v>13</v>
      </c>
      <c r="H8" t="str">
        <f t="shared" si="0"/>
        <v/>
      </c>
    </row>
    <row r="9" spans="1:8">
      <c r="A9" t="s">
        <v>31</v>
      </c>
      <c r="B9" t="s">
        <v>19</v>
      </c>
      <c r="C9" t="s">
        <v>28</v>
      </c>
      <c r="E9" t="s">
        <v>25</v>
      </c>
      <c r="F9" t="s">
        <v>13</v>
      </c>
      <c r="H9" t="str">
        <f t="shared" si="0"/>
        <v/>
      </c>
    </row>
    <row r="10" spans="1:8">
      <c r="A10" t="s">
        <v>32</v>
      </c>
      <c r="B10" t="s">
        <v>33</v>
      </c>
      <c r="C10" t="s">
        <v>27</v>
      </c>
      <c r="D10" t="s">
        <v>48</v>
      </c>
      <c r="E10" t="s">
        <v>17</v>
      </c>
      <c r="F10" t="s">
        <v>55</v>
      </c>
      <c r="G10" t="s">
        <v>56</v>
      </c>
      <c r="H10" t="str">
        <f t="shared" si="0"/>
        <v>Ja</v>
      </c>
    </row>
    <row r="11" spans="1:8">
      <c r="A11" t="s">
        <v>34</v>
      </c>
      <c r="B11" t="s">
        <v>33</v>
      </c>
      <c r="C11" t="s">
        <v>30</v>
      </c>
      <c r="D11" t="s">
        <v>49</v>
      </c>
      <c r="E11" t="s">
        <v>25</v>
      </c>
      <c r="F11" t="s">
        <v>55</v>
      </c>
      <c r="H11" t="str">
        <f t="shared" si="0"/>
        <v/>
      </c>
    </row>
    <row r="12" spans="1:8">
      <c r="A12" t="s">
        <v>35</v>
      </c>
      <c r="B12" t="s">
        <v>33</v>
      </c>
      <c r="C12" t="s">
        <v>28</v>
      </c>
      <c r="D12" t="s">
        <v>119</v>
      </c>
      <c r="E12" t="s">
        <v>25</v>
      </c>
      <c r="F12" t="s">
        <v>174</v>
      </c>
      <c r="H12" t="str">
        <f t="shared" si="0"/>
        <v/>
      </c>
    </row>
    <row r="13" spans="1:8">
      <c r="A13" t="s">
        <v>36</v>
      </c>
      <c r="B13" t="s">
        <v>33</v>
      </c>
      <c r="C13" t="s">
        <v>28</v>
      </c>
      <c r="E13" t="s">
        <v>37</v>
      </c>
      <c r="F13" t="s">
        <v>55</v>
      </c>
      <c r="H13" t="str">
        <f t="shared" si="0"/>
        <v/>
      </c>
    </row>
    <row r="14" spans="1:8">
      <c r="A14" t="s">
        <v>38</v>
      </c>
      <c r="B14" t="s">
        <v>33</v>
      </c>
      <c r="C14" t="s">
        <v>27</v>
      </c>
      <c r="E14" t="s">
        <v>39</v>
      </c>
      <c r="F14" t="s">
        <v>13</v>
      </c>
      <c r="H14" t="str">
        <f t="shared" si="0"/>
        <v/>
      </c>
    </row>
    <row r="15" spans="1:8">
      <c r="A15" t="s">
        <v>40</v>
      </c>
      <c r="B15" t="s">
        <v>33</v>
      </c>
      <c r="C15" t="s">
        <v>27</v>
      </c>
      <c r="E15" t="s">
        <v>39</v>
      </c>
      <c r="F15" t="s">
        <v>62</v>
      </c>
      <c r="G15" t="s">
        <v>61</v>
      </c>
      <c r="H15" t="str">
        <f t="shared" si="0"/>
        <v>Ja</v>
      </c>
    </row>
    <row r="16" spans="1:8">
      <c r="A16" t="s">
        <v>41</v>
      </c>
      <c r="B16" t="s">
        <v>33</v>
      </c>
      <c r="C16" t="s">
        <v>30</v>
      </c>
      <c r="E16" t="s">
        <v>42</v>
      </c>
      <c r="F16" t="s">
        <v>13</v>
      </c>
      <c r="H16" t="str">
        <f t="shared" si="0"/>
        <v/>
      </c>
    </row>
    <row r="17" spans="1:8">
      <c r="A17" t="s">
        <v>43</v>
      </c>
      <c r="B17" t="s">
        <v>33</v>
      </c>
      <c r="C17" t="s">
        <v>27</v>
      </c>
      <c r="E17" t="s">
        <v>42</v>
      </c>
      <c r="F17" t="s">
        <v>13</v>
      </c>
      <c r="H17" t="str">
        <f t="shared" si="0"/>
        <v/>
      </c>
    </row>
    <row r="18" spans="1:8">
      <c r="A18" t="s">
        <v>44</v>
      </c>
      <c r="B18" t="s">
        <v>33</v>
      </c>
      <c r="C18" t="s">
        <v>28</v>
      </c>
      <c r="E18" t="s">
        <v>42</v>
      </c>
      <c r="F18" t="s">
        <v>13</v>
      </c>
      <c r="H18" t="str">
        <f t="shared" si="0"/>
        <v/>
      </c>
    </row>
    <row r="19" spans="1:8">
      <c r="A19" t="s">
        <v>45</v>
      </c>
      <c r="B19" t="s">
        <v>46</v>
      </c>
      <c r="C19" t="s">
        <v>27</v>
      </c>
      <c r="D19" t="s">
        <v>47</v>
      </c>
      <c r="E19" t="s">
        <v>20</v>
      </c>
      <c r="F19" t="s">
        <v>13</v>
      </c>
      <c r="H19" t="str">
        <f t="shared" si="0"/>
        <v/>
      </c>
    </row>
    <row r="20" spans="1:8">
      <c r="A20" t="s">
        <v>52</v>
      </c>
      <c r="B20" t="s">
        <v>46</v>
      </c>
      <c r="C20" t="s">
        <v>27</v>
      </c>
      <c r="D20" t="s">
        <v>53</v>
      </c>
      <c r="E20" t="s">
        <v>23</v>
      </c>
      <c r="F20" t="s">
        <v>13</v>
      </c>
      <c r="H20" t="str">
        <f t="shared" si="0"/>
        <v/>
      </c>
    </row>
    <row r="21" spans="1:8">
      <c r="A21" t="s">
        <v>67</v>
      </c>
      <c r="B21" t="s">
        <v>46</v>
      </c>
      <c r="C21" t="s">
        <v>27</v>
      </c>
      <c r="E21" t="s">
        <v>25</v>
      </c>
      <c r="F21" t="s">
        <v>13</v>
      </c>
      <c r="H21" t="str">
        <f t="shared" si="0"/>
        <v/>
      </c>
    </row>
    <row r="22" spans="1:8">
      <c r="A22" t="s">
        <v>68</v>
      </c>
      <c r="B22" t="s">
        <v>46</v>
      </c>
      <c r="C22" t="s">
        <v>27</v>
      </c>
      <c r="E22" t="s">
        <v>69</v>
      </c>
      <c r="F22" t="s">
        <v>13</v>
      </c>
      <c r="H22" t="str">
        <f t="shared" si="0"/>
        <v/>
      </c>
    </row>
    <row r="23" spans="1:8">
      <c r="A23" t="s">
        <v>70</v>
      </c>
      <c r="B23" t="s">
        <v>46</v>
      </c>
      <c r="C23" t="s">
        <v>27</v>
      </c>
      <c r="E23" t="s">
        <v>37</v>
      </c>
      <c r="F23" t="s">
        <v>13</v>
      </c>
      <c r="H23" t="str">
        <f t="shared" si="0"/>
        <v/>
      </c>
    </row>
    <row r="24" spans="1:8">
      <c r="A24" t="s">
        <v>71</v>
      </c>
      <c r="B24" t="s">
        <v>46</v>
      </c>
      <c r="C24" t="s">
        <v>28</v>
      </c>
      <c r="E24" t="s">
        <v>37</v>
      </c>
      <c r="F24" t="s">
        <v>13</v>
      </c>
      <c r="H24" t="str">
        <f t="shared" si="0"/>
        <v/>
      </c>
    </row>
    <row r="25" spans="1:8">
      <c r="A25" t="s">
        <v>72</v>
      </c>
      <c r="B25" t="s">
        <v>46</v>
      </c>
      <c r="C25" t="s">
        <v>28</v>
      </c>
      <c r="E25" t="s">
        <v>37</v>
      </c>
      <c r="F25" t="s">
        <v>74</v>
      </c>
      <c r="H25" t="str">
        <f t="shared" si="0"/>
        <v/>
      </c>
    </row>
    <row r="26" spans="1:8">
      <c r="A26" t="s">
        <v>73</v>
      </c>
      <c r="B26" t="s">
        <v>46</v>
      </c>
      <c r="C26" t="s">
        <v>28</v>
      </c>
      <c r="E26" t="s">
        <v>39</v>
      </c>
      <c r="F26" t="s">
        <v>74</v>
      </c>
      <c r="H26" t="str">
        <f t="shared" si="0"/>
        <v/>
      </c>
    </row>
    <row r="27" spans="1:8">
      <c r="A27" t="s">
        <v>75</v>
      </c>
      <c r="B27" t="s">
        <v>46</v>
      </c>
      <c r="C27" t="s">
        <v>27</v>
      </c>
      <c r="E27" t="s">
        <v>39</v>
      </c>
      <c r="F27" t="s">
        <v>56</v>
      </c>
      <c r="G27" t="s">
        <v>13</v>
      </c>
      <c r="H27" t="str">
        <f t="shared" si="0"/>
        <v>Ja</v>
      </c>
    </row>
    <row r="28" spans="1:8">
      <c r="A28" t="s">
        <v>76</v>
      </c>
      <c r="B28" t="s">
        <v>46</v>
      </c>
      <c r="C28" t="s">
        <v>28</v>
      </c>
      <c r="E28" t="s">
        <v>39</v>
      </c>
      <c r="F28" t="s">
        <v>74</v>
      </c>
      <c r="H28" t="str">
        <f t="shared" si="0"/>
        <v/>
      </c>
    </row>
    <row r="29" spans="1:8">
      <c r="A29" t="s">
        <v>77</v>
      </c>
      <c r="B29" t="s">
        <v>46</v>
      </c>
      <c r="C29" t="s">
        <v>27</v>
      </c>
      <c r="E29" t="s">
        <v>39</v>
      </c>
      <c r="F29" t="s">
        <v>13</v>
      </c>
      <c r="H29" t="str">
        <f t="shared" si="0"/>
        <v/>
      </c>
    </row>
    <row r="30" spans="1:8">
      <c r="A30" t="s">
        <v>78</v>
      </c>
      <c r="B30" t="s">
        <v>46</v>
      </c>
      <c r="C30" t="s">
        <v>28</v>
      </c>
      <c r="E30" t="s">
        <v>39</v>
      </c>
      <c r="F30" t="s">
        <v>74</v>
      </c>
      <c r="H30" t="str">
        <f t="shared" si="0"/>
        <v/>
      </c>
    </row>
    <row r="31" spans="1:8">
      <c r="A31" t="s">
        <v>79</v>
      </c>
      <c r="B31" t="s">
        <v>46</v>
      </c>
      <c r="C31" t="s">
        <v>27</v>
      </c>
      <c r="E31" t="s">
        <v>39</v>
      </c>
      <c r="F31" t="s">
        <v>165</v>
      </c>
      <c r="H31" t="str">
        <f t="shared" si="0"/>
        <v/>
      </c>
    </row>
    <row r="32" spans="1:8">
      <c r="A32" t="s">
        <v>80</v>
      </c>
      <c r="B32" t="s">
        <v>46</v>
      </c>
      <c r="C32" t="s">
        <v>27</v>
      </c>
      <c r="E32" t="s">
        <v>39</v>
      </c>
      <c r="F32" t="s">
        <v>13</v>
      </c>
      <c r="H32" t="str">
        <f t="shared" si="0"/>
        <v/>
      </c>
    </row>
    <row r="33" spans="1:8">
      <c r="A33" t="s">
        <v>81</v>
      </c>
      <c r="B33" t="s">
        <v>46</v>
      </c>
      <c r="C33" t="s">
        <v>30</v>
      </c>
      <c r="E33" t="s">
        <v>42</v>
      </c>
      <c r="F33" t="s">
        <v>13</v>
      </c>
      <c r="H33" t="str">
        <f t="shared" si="0"/>
        <v/>
      </c>
    </row>
    <row r="34" spans="1:8">
      <c r="A34" t="s">
        <v>82</v>
      </c>
      <c r="B34" t="s">
        <v>46</v>
      </c>
      <c r="C34" t="s">
        <v>27</v>
      </c>
      <c r="E34" t="s">
        <v>42</v>
      </c>
      <c r="F34" t="s">
        <v>13</v>
      </c>
      <c r="H34" t="str">
        <f t="shared" si="0"/>
        <v/>
      </c>
    </row>
    <row r="35" spans="1:8">
      <c r="A35" t="s">
        <v>83</v>
      </c>
      <c r="B35" t="s">
        <v>46</v>
      </c>
      <c r="C35" t="s">
        <v>28</v>
      </c>
      <c r="E35" t="s">
        <v>42</v>
      </c>
      <c r="F35" t="s">
        <v>13</v>
      </c>
      <c r="H35" t="str">
        <f t="shared" si="0"/>
        <v/>
      </c>
    </row>
    <row r="36" spans="1:8">
      <c r="A36" t="s">
        <v>84</v>
      </c>
      <c r="B36" t="s">
        <v>46</v>
      </c>
      <c r="C36" t="s">
        <v>28</v>
      </c>
      <c r="E36" t="s">
        <v>42</v>
      </c>
      <c r="F36" t="s">
        <v>62</v>
      </c>
      <c r="H36" t="str">
        <f t="shared" si="0"/>
        <v/>
      </c>
    </row>
    <row r="37" spans="1:8">
      <c r="A37" t="s">
        <v>85</v>
      </c>
      <c r="B37" t="s">
        <v>46</v>
      </c>
      <c r="C37" t="s">
        <v>28</v>
      </c>
      <c r="E37" t="s">
        <v>42</v>
      </c>
      <c r="F37" t="s">
        <v>13</v>
      </c>
      <c r="H37" t="str">
        <f t="shared" si="0"/>
        <v/>
      </c>
    </row>
    <row r="38" spans="1:8">
      <c r="A38" t="s">
        <v>86</v>
      </c>
      <c r="B38" t="s">
        <v>46</v>
      </c>
      <c r="C38" t="s">
        <v>28</v>
      </c>
      <c r="E38" t="s">
        <v>42</v>
      </c>
      <c r="F38" t="s">
        <v>13</v>
      </c>
      <c r="H38" t="str">
        <f t="shared" si="0"/>
        <v/>
      </c>
    </row>
    <row r="39" spans="1:8">
      <c r="A39" t="s">
        <v>87</v>
      </c>
      <c r="B39" t="s">
        <v>46</v>
      </c>
      <c r="C39" t="s">
        <v>28</v>
      </c>
      <c r="E39" t="s">
        <v>42</v>
      </c>
      <c r="F39" t="s">
        <v>74</v>
      </c>
      <c r="H39" t="str">
        <f t="shared" si="0"/>
        <v/>
      </c>
    </row>
    <row r="40" spans="1:8">
      <c r="A40" t="s">
        <v>88</v>
      </c>
      <c r="B40" t="s">
        <v>46</v>
      </c>
      <c r="C40" t="s">
        <v>28</v>
      </c>
      <c r="E40" t="s">
        <v>42</v>
      </c>
      <c r="F40" t="s">
        <v>74</v>
      </c>
      <c r="H40" t="str">
        <f t="shared" si="0"/>
        <v/>
      </c>
    </row>
    <row r="41" spans="1:8">
      <c r="A41" t="s">
        <v>89</v>
      </c>
      <c r="B41" t="s">
        <v>46</v>
      </c>
      <c r="C41" t="s">
        <v>28</v>
      </c>
      <c r="E41" t="s">
        <v>42</v>
      </c>
      <c r="F41" t="s">
        <v>13</v>
      </c>
      <c r="H41" t="str">
        <f t="shared" si="0"/>
        <v/>
      </c>
    </row>
    <row r="42" spans="1:8">
      <c r="A42" t="s">
        <v>90</v>
      </c>
      <c r="B42" t="s">
        <v>46</v>
      </c>
      <c r="C42" t="s">
        <v>27</v>
      </c>
      <c r="E42" t="s">
        <v>42</v>
      </c>
      <c r="F42" t="s">
        <v>21</v>
      </c>
      <c r="H42" t="str">
        <f t="shared" si="0"/>
        <v/>
      </c>
    </row>
    <row r="43" spans="1:8">
      <c r="A43" t="s">
        <v>92</v>
      </c>
      <c r="B43" t="s">
        <v>57</v>
      </c>
      <c r="C43" t="s">
        <v>27</v>
      </c>
      <c r="D43" t="s">
        <v>94</v>
      </c>
      <c r="E43" t="s">
        <v>17</v>
      </c>
      <c r="F43" t="s">
        <v>55</v>
      </c>
      <c r="H43" t="str">
        <f t="shared" si="0"/>
        <v/>
      </c>
    </row>
    <row r="44" spans="1:8">
      <c r="A44" t="s">
        <v>93</v>
      </c>
      <c r="B44" t="s">
        <v>57</v>
      </c>
      <c r="C44" t="s">
        <v>27</v>
      </c>
      <c r="D44" t="s">
        <v>95</v>
      </c>
      <c r="E44" t="s">
        <v>25</v>
      </c>
      <c r="F44" t="s">
        <v>13</v>
      </c>
      <c r="H44" t="str">
        <f t="shared" si="0"/>
        <v/>
      </c>
    </row>
    <row r="45" spans="1:8">
      <c r="A45" t="s">
        <v>96</v>
      </c>
      <c r="B45" t="s">
        <v>57</v>
      </c>
      <c r="C45" t="s">
        <v>27</v>
      </c>
      <c r="E45" t="s">
        <v>97</v>
      </c>
      <c r="F45" t="s">
        <v>13</v>
      </c>
      <c r="H45" t="str">
        <f t="shared" si="0"/>
        <v/>
      </c>
    </row>
    <row r="46" spans="1:8">
      <c r="A46" t="s">
        <v>98</v>
      </c>
      <c r="B46" t="s">
        <v>57</v>
      </c>
      <c r="C46" t="s">
        <v>28</v>
      </c>
      <c r="E46" t="s">
        <v>97</v>
      </c>
      <c r="F46" t="s">
        <v>13</v>
      </c>
      <c r="H46" t="str">
        <f t="shared" si="0"/>
        <v/>
      </c>
    </row>
    <row r="47" spans="1:8">
      <c r="A47" t="s">
        <v>99</v>
      </c>
      <c r="B47" t="s">
        <v>57</v>
      </c>
      <c r="C47" t="s">
        <v>28</v>
      </c>
      <c r="E47" t="s">
        <v>97</v>
      </c>
      <c r="F47" t="s">
        <v>74</v>
      </c>
      <c r="H47" t="str">
        <f t="shared" si="0"/>
        <v/>
      </c>
    </row>
    <row r="48" spans="1:8">
      <c r="A48" t="s">
        <v>101</v>
      </c>
      <c r="B48" t="s">
        <v>57</v>
      </c>
      <c r="C48" t="s">
        <v>28</v>
      </c>
      <c r="E48" t="s">
        <v>37</v>
      </c>
      <c r="F48" t="s">
        <v>13</v>
      </c>
      <c r="H48" t="str">
        <f t="shared" si="0"/>
        <v/>
      </c>
    </row>
    <row r="49" spans="1:8">
      <c r="A49" t="s">
        <v>102</v>
      </c>
      <c r="B49" t="s">
        <v>57</v>
      </c>
      <c r="C49" t="s">
        <v>27</v>
      </c>
      <c r="E49" t="s">
        <v>37</v>
      </c>
      <c r="F49" t="s">
        <v>13</v>
      </c>
      <c r="H49" t="str">
        <f t="shared" si="0"/>
        <v/>
      </c>
    </row>
    <row r="50" spans="1:8">
      <c r="A50" t="s">
        <v>103</v>
      </c>
      <c r="B50" t="s">
        <v>57</v>
      </c>
      <c r="C50" t="s">
        <v>28</v>
      </c>
      <c r="E50" t="s">
        <v>39</v>
      </c>
      <c r="F50" t="s">
        <v>74</v>
      </c>
      <c r="H50" t="str">
        <f t="shared" si="0"/>
        <v/>
      </c>
    </row>
    <row r="51" spans="1:8">
      <c r="A51" t="s">
        <v>104</v>
      </c>
      <c r="B51" t="s">
        <v>57</v>
      </c>
      <c r="C51" t="s">
        <v>27</v>
      </c>
      <c r="E51" t="s">
        <v>39</v>
      </c>
      <c r="F51" t="s">
        <v>13</v>
      </c>
      <c r="H51" t="str">
        <f t="shared" si="0"/>
        <v/>
      </c>
    </row>
    <row r="52" spans="1:8">
      <c r="A52" t="s">
        <v>105</v>
      </c>
      <c r="B52" t="s">
        <v>57</v>
      </c>
      <c r="C52" t="s">
        <v>27</v>
      </c>
      <c r="E52" t="s">
        <v>39</v>
      </c>
      <c r="F52" t="s">
        <v>166</v>
      </c>
      <c r="G52" t="s">
        <v>13</v>
      </c>
      <c r="H52" t="str">
        <f t="shared" si="0"/>
        <v>Ja</v>
      </c>
    </row>
    <row r="53" spans="1:8">
      <c r="A53" t="s">
        <v>106</v>
      </c>
      <c r="B53" t="s">
        <v>57</v>
      </c>
      <c r="C53" t="s">
        <v>27</v>
      </c>
      <c r="E53" t="s">
        <v>39</v>
      </c>
      <c r="F53" t="s">
        <v>55</v>
      </c>
      <c r="G53" t="s">
        <v>13</v>
      </c>
      <c r="H53" t="str">
        <f t="shared" si="0"/>
        <v>Ja</v>
      </c>
    </row>
    <row r="54" spans="1:8">
      <c r="A54" t="s">
        <v>107</v>
      </c>
      <c r="B54" t="s">
        <v>57</v>
      </c>
      <c r="C54" t="s">
        <v>27</v>
      </c>
      <c r="E54" t="s">
        <v>39</v>
      </c>
      <c r="F54" t="s">
        <v>13</v>
      </c>
      <c r="H54" t="str">
        <f t="shared" si="0"/>
        <v/>
      </c>
    </row>
    <row r="55" spans="1:8">
      <c r="A55" t="s">
        <v>108</v>
      </c>
      <c r="B55" t="s">
        <v>57</v>
      </c>
      <c r="C55" t="s">
        <v>27</v>
      </c>
      <c r="E55" t="s">
        <v>39</v>
      </c>
      <c r="F55" t="s">
        <v>13</v>
      </c>
      <c r="H55" t="str">
        <f t="shared" si="0"/>
        <v/>
      </c>
    </row>
    <row r="56" spans="1:8">
      <c r="A56" t="s">
        <v>109</v>
      </c>
      <c r="B56" t="s">
        <v>57</v>
      </c>
      <c r="C56" t="s">
        <v>27</v>
      </c>
      <c r="E56" t="s">
        <v>39</v>
      </c>
      <c r="F56" t="s">
        <v>167</v>
      </c>
      <c r="G56" t="s">
        <v>13</v>
      </c>
      <c r="H56" t="str">
        <f t="shared" si="0"/>
        <v>Ja</v>
      </c>
    </row>
    <row r="57" spans="1:8">
      <c r="A57" t="s">
        <v>110</v>
      </c>
      <c r="B57" t="s">
        <v>57</v>
      </c>
      <c r="C57" t="s">
        <v>28</v>
      </c>
      <c r="E57" t="s">
        <v>39</v>
      </c>
      <c r="F57" t="s">
        <v>74</v>
      </c>
      <c r="H57" t="str">
        <f t="shared" si="0"/>
        <v/>
      </c>
    </row>
    <row r="58" spans="1:8">
      <c r="A58" t="s">
        <v>111</v>
      </c>
      <c r="B58" t="s">
        <v>57</v>
      </c>
      <c r="C58" t="s">
        <v>28</v>
      </c>
      <c r="E58" t="s">
        <v>39</v>
      </c>
      <c r="F58" t="s">
        <v>74</v>
      </c>
      <c r="H58" t="str">
        <f t="shared" si="0"/>
        <v/>
      </c>
    </row>
    <row r="59" spans="1:8">
      <c r="A59" t="s">
        <v>112</v>
      </c>
      <c r="B59" t="s">
        <v>57</v>
      </c>
      <c r="C59" t="s">
        <v>27</v>
      </c>
      <c r="E59" t="s">
        <v>42</v>
      </c>
      <c r="F59" t="s">
        <v>13</v>
      </c>
      <c r="H59" t="str">
        <f t="shared" si="0"/>
        <v/>
      </c>
    </row>
    <row r="60" spans="1:8">
      <c r="A60" t="s">
        <v>113</v>
      </c>
      <c r="B60" t="s">
        <v>57</v>
      </c>
      <c r="C60" t="s">
        <v>27</v>
      </c>
      <c r="E60" t="s">
        <v>42</v>
      </c>
      <c r="F60" t="s">
        <v>13</v>
      </c>
      <c r="H60" t="str">
        <f t="shared" si="0"/>
        <v/>
      </c>
    </row>
    <row r="61" spans="1:8">
      <c r="A61" t="s">
        <v>114</v>
      </c>
      <c r="B61" t="s">
        <v>59</v>
      </c>
      <c r="C61" t="s">
        <v>27</v>
      </c>
      <c r="D61" t="s">
        <v>115</v>
      </c>
      <c r="E61" t="s">
        <v>17</v>
      </c>
      <c r="F61" t="s">
        <v>13</v>
      </c>
      <c r="H61" t="str">
        <f t="shared" si="0"/>
        <v/>
      </c>
    </row>
    <row r="62" spans="1:8">
      <c r="A62" t="s">
        <v>116</v>
      </c>
      <c r="B62" t="s">
        <v>59</v>
      </c>
      <c r="C62" t="s">
        <v>27</v>
      </c>
      <c r="D62" t="s">
        <v>117</v>
      </c>
      <c r="E62" t="s">
        <v>23</v>
      </c>
      <c r="F62" t="s">
        <v>13</v>
      </c>
      <c r="H62" t="str">
        <f t="shared" si="0"/>
        <v/>
      </c>
    </row>
    <row r="63" spans="1:8">
      <c r="A63" t="s">
        <v>118</v>
      </c>
      <c r="B63" t="s">
        <v>59</v>
      </c>
      <c r="C63" t="s">
        <v>28</v>
      </c>
      <c r="D63" t="s">
        <v>120</v>
      </c>
      <c r="E63" t="s">
        <v>23</v>
      </c>
      <c r="F63" t="s">
        <v>74</v>
      </c>
      <c r="H63" t="str">
        <f t="shared" si="0"/>
        <v/>
      </c>
    </row>
    <row r="64" spans="1:8">
      <c r="A64" t="s">
        <v>121</v>
      </c>
      <c r="B64" t="s">
        <v>59</v>
      </c>
      <c r="C64" t="s">
        <v>27</v>
      </c>
      <c r="E64" t="s">
        <v>23</v>
      </c>
      <c r="F64" t="s">
        <v>62</v>
      </c>
      <c r="H64" t="str">
        <f t="shared" si="0"/>
        <v/>
      </c>
    </row>
    <row r="65" spans="1:8">
      <c r="A65" t="s">
        <v>122</v>
      </c>
      <c r="B65" t="s">
        <v>59</v>
      </c>
      <c r="C65" t="s">
        <v>27</v>
      </c>
      <c r="E65" t="s">
        <v>25</v>
      </c>
      <c r="F65" t="s">
        <v>55</v>
      </c>
      <c r="H65" t="str">
        <f t="shared" si="0"/>
        <v/>
      </c>
    </row>
    <row r="66" spans="1:8">
      <c r="A66" t="s">
        <v>123</v>
      </c>
      <c r="B66" t="s">
        <v>59</v>
      </c>
      <c r="C66" t="s">
        <v>27</v>
      </c>
      <c r="E66" t="s">
        <v>25</v>
      </c>
      <c r="F66" t="s">
        <v>7</v>
      </c>
      <c r="H66" t="str">
        <f t="shared" si="0"/>
        <v/>
      </c>
    </row>
    <row r="67" spans="1:8">
      <c r="A67" t="s">
        <v>124</v>
      </c>
      <c r="B67" t="s">
        <v>59</v>
      </c>
      <c r="C67" t="s">
        <v>27</v>
      </c>
      <c r="E67" t="s">
        <v>39</v>
      </c>
      <c r="F67" t="s">
        <v>13</v>
      </c>
      <c r="H67" t="str">
        <f t="shared" ref="H67:H110" si="1">IF(ISBLANK(G67),"","Ja")</f>
        <v/>
      </c>
    </row>
    <row r="68" spans="1:8">
      <c r="A68" t="s">
        <v>125</v>
      </c>
      <c r="B68" t="s">
        <v>59</v>
      </c>
      <c r="C68" t="s">
        <v>28</v>
      </c>
      <c r="E68" t="s">
        <v>39</v>
      </c>
      <c r="F68" t="s">
        <v>55</v>
      </c>
      <c r="H68" t="str">
        <f t="shared" si="1"/>
        <v/>
      </c>
    </row>
    <row r="69" spans="1:8">
      <c r="A69" t="s">
        <v>126</v>
      </c>
      <c r="B69" t="s">
        <v>59</v>
      </c>
      <c r="C69" t="s">
        <v>28</v>
      </c>
      <c r="E69" t="s">
        <v>39</v>
      </c>
      <c r="F69" t="s">
        <v>13</v>
      </c>
      <c r="H69" t="str">
        <f t="shared" si="1"/>
        <v/>
      </c>
    </row>
    <row r="70" spans="1:8">
      <c r="A70" t="s">
        <v>127</v>
      </c>
      <c r="B70" t="s">
        <v>59</v>
      </c>
      <c r="C70" t="s">
        <v>28</v>
      </c>
      <c r="E70" t="s">
        <v>39</v>
      </c>
      <c r="F70" t="s">
        <v>74</v>
      </c>
      <c r="H70" t="str">
        <f t="shared" si="1"/>
        <v/>
      </c>
    </row>
    <row r="71" spans="1:8">
      <c r="A71" t="s">
        <v>128</v>
      </c>
      <c r="B71" t="s">
        <v>59</v>
      </c>
      <c r="C71" t="s">
        <v>27</v>
      </c>
      <c r="E71" t="s">
        <v>39</v>
      </c>
      <c r="F71" t="s">
        <v>13</v>
      </c>
      <c r="H71" t="str">
        <f t="shared" si="1"/>
        <v/>
      </c>
    </row>
    <row r="72" spans="1:8">
      <c r="A72" t="s">
        <v>129</v>
      </c>
      <c r="B72" t="s">
        <v>59</v>
      </c>
      <c r="C72" t="s">
        <v>28</v>
      </c>
      <c r="E72" t="s">
        <v>42</v>
      </c>
      <c r="F72" t="s">
        <v>13</v>
      </c>
      <c r="H72" t="str">
        <f t="shared" si="1"/>
        <v/>
      </c>
    </row>
    <row r="73" spans="1:8">
      <c r="A73" t="s">
        <v>130</v>
      </c>
      <c r="B73" t="s">
        <v>59</v>
      </c>
      <c r="C73" t="s">
        <v>27</v>
      </c>
      <c r="E73" t="s">
        <v>42</v>
      </c>
      <c r="F73" t="s">
        <v>4</v>
      </c>
      <c r="H73" t="str">
        <f t="shared" si="1"/>
        <v/>
      </c>
    </row>
    <row r="74" spans="1:8">
      <c r="A74" t="s">
        <v>133</v>
      </c>
      <c r="B74" t="s">
        <v>60</v>
      </c>
      <c r="C74" t="s">
        <v>27</v>
      </c>
      <c r="D74" t="s">
        <v>134</v>
      </c>
      <c r="E74" t="s">
        <v>17</v>
      </c>
      <c r="F74" t="s">
        <v>55</v>
      </c>
      <c r="H74" t="str">
        <f t="shared" si="1"/>
        <v/>
      </c>
    </row>
    <row r="75" spans="1:8">
      <c r="A75" t="s">
        <v>135</v>
      </c>
      <c r="B75" t="s">
        <v>60</v>
      </c>
      <c r="C75" t="s">
        <v>27</v>
      </c>
      <c r="D75" t="s">
        <v>136</v>
      </c>
      <c r="E75" t="s">
        <v>17</v>
      </c>
      <c r="F75" t="s">
        <v>168</v>
      </c>
      <c r="H75" t="str">
        <f t="shared" si="1"/>
        <v/>
      </c>
    </row>
    <row r="76" spans="1:8">
      <c r="A76" t="s">
        <v>137</v>
      </c>
      <c r="B76" t="s">
        <v>60</v>
      </c>
      <c r="C76" t="s">
        <v>28</v>
      </c>
      <c r="E76" t="s">
        <v>17</v>
      </c>
      <c r="F76" t="s">
        <v>13</v>
      </c>
      <c r="H76" t="str">
        <f t="shared" si="1"/>
        <v/>
      </c>
    </row>
    <row r="77" spans="1:8">
      <c r="A77" t="s">
        <v>138</v>
      </c>
      <c r="B77" t="s">
        <v>60</v>
      </c>
      <c r="C77" t="s">
        <v>27</v>
      </c>
      <c r="E77" t="s">
        <v>25</v>
      </c>
      <c r="F77" t="s">
        <v>13</v>
      </c>
      <c r="H77" t="str">
        <f t="shared" si="1"/>
        <v/>
      </c>
    </row>
    <row r="78" spans="1:8">
      <c r="A78" t="s">
        <v>139</v>
      </c>
      <c r="B78" t="s">
        <v>60</v>
      </c>
      <c r="C78" t="s">
        <v>27</v>
      </c>
      <c r="E78" t="s">
        <v>39</v>
      </c>
      <c r="F78" t="s">
        <v>13</v>
      </c>
      <c r="H78" t="str">
        <f t="shared" si="1"/>
        <v/>
      </c>
    </row>
    <row r="79" spans="1:8">
      <c r="A79" t="s">
        <v>140</v>
      </c>
      <c r="B79" t="s">
        <v>60</v>
      </c>
      <c r="C79" t="s">
        <v>27</v>
      </c>
      <c r="E79" t="s">
        <v>39</v>
      </c>
      <c r="F79" t="s">
        <v>169</v>
      </c>
      <c r="G79" t="s">
        <v>13</v>
      </c>
      <c r="H79" t="str">
        <f>IF(ISBLANK(G79),"","Ja")</f>
        <v>Ja</v>
      </c>
    </row>
    <row r="80" spans="1:8">
      <c r="A80" t="s">
        <v>141</v>
      </c>
      <c r="B80" t="s">
        <v>60</v>
      </c>
      <c r="C80" t="s">
        <v>28</v>
      </c>
      <c r="E80" t="s">
        <v>39</v>
      </c>
      <c r="F80" t="s">
        <v>168</v>
      </c>
      <c r="H80" t="str">
        <f t="shared" si="1"/>
        <v/>
      </c>
    </row>
    <row r="81" spans="1:8">
      <c r="A81" t="s">
        <v>142</v>
      </c>
      <c r="B81" t="s">
        <v>60</v>
      </c>
      <c r="C81" t="s">
        <v>27</v>
      </c>
      <c r="E81" t="s">
        <v>39</v>
      </c>
      <c r="F81" t="s">
        <v>4</v>
      </c>
      <c r="H81" t="str">
        <f t="shared" si="1"/>
        <v/>
      </c>
    </row>
    <row r="82" spans="1:8">
      <c r="A82" t="s">
        <v>143</v>
      </c>
      <c r="B82" t="s">
        <v>60</v>
      </c>
      <c r="C82" t="s">
        <v>27</v>
      </c>
      <c r="E82" t="s">
        <v>39</v>
      </c>
      <c r="F82" t="s">
        <v>13</v>
      </c>
      <c r="H82" t="str">
        <f t="shared" si="1"/>
        <v/>
      </c>
    </row>
    <row r="83" spans="1:8">
      <c r="A83" t="s">
        <v>144</v>
      </c>
      <c r="B83" t="s">
        <v>60</v>
      </c>
      <c r="C83" t="s">
        <v>27</v>
      </c>
      <c r="E83" t="s">
        <v>39</v>
      </c>
      <c r="F83" t="s">
        <v>175</v>
      </c>
      <c r="H83" t="str">
        <f t="shared" si="1"/>
        <v/>
      </c>
    </row>
    <row r="84" spans="1:8">
      <c r="A84" t="s">
        <v>146</v>
      </c>
      <c r="B84" t="s">
        <v>60</v>
      </c>
      <c r="C84" t="s">
        <v>27</v>
      </c>
      <c r="E84" t="s">
        <v>42</v>
      </c>
      <c r="F84" t="s">
        <v>170</v>
      </c>
      <c r="G84" t="s">
        <v>166</v>
      </c>
      <c r="H84" t="str">
        <f t="shared" si="1"/>
        <v>Ja</v>
      </c>
    </row>
    <row r="85" spans="1:8">
      <c r="A85" t="s">
        <v>145</v>
      </c>
      <c r="B85" t="s">
        <v>60</v>
      </c>
      <c r="C85" t="s">
        <v>27</v>
      </c>
      <c r="E85" t="s">
        <v>42</v>
      </c>
      <c r="F85" t="s">
        <v>13</v>
      </c>
      <c r="H85" t="str">
        <f t="shared" si="1"/>
        <v/>
      </c>
    </row>
    <row r="86" spans="1:8">
      <c r="A86" t="s">
        <v>147</v>
      </c>
      <c r="B86" t="s">
        <v>60</v>
      </c>
      <c r="C86" t="s">
        <v>28</v>
      </c>
      <c r="E86" t="s">
        <v>42</v>
      </c>
      <c r="F86" t="s">
        <v>74</v>
      </c>
      <c r="H86" t="str">
        <f t="shared" si="1"/>
        <v/>
      </c>
    </row>
    <row r="87" spans="1:8">
      <c r="A87" t="s">
        <v>148</v>
      </c>
      <c r="B87" t="s">
        <v>60</v>
      </c>
      <c r="C87" t="s">
        <v>28</v>
      </c>
      <c r="E87" t="s">
        <v>42</v>
      </c>
      <c r="F87" t="s">
        <v>13</v>
      </c>
      <c r="H87" t="str">
        <f t="shared" si="1"/>
        <v/>
      </c>
    </row>
    <row r="88" spans="1:8">
      <c r="A88" t="s">
        <v>149</v>
      </c>
      <c r="B88" t="s">
        <v>60</v>
      </c>
      <c r="C88" t="s">
        <v>27</v>
      </c>
      <c r="E88" t="s">
        <v>150</v>
      </c>
      <c r="F88" t="s">
        <v>13</v>
      </c>
      <c r="H88" t="str">
        <f t="shared" si="1"/>
        <v/>
      </c>
    </row>
    <row r="89" spans="1:8">
      <c r="A89" t="s">
        <v>151</v>
      </c>
      <c r="B89" t="s">
        <v>60</v>
      </c>
      <c r="C89" t="s">
        <v>27</v>
      </c>
      <c r="E89" t="s">
        <v>150</v>
      </c>
      <c r="F89" t="s">
        <v>13</v>
      </c>
      <c r="H89" t="str">
        <f t="shared" si="1"/>
        <v/>
      </c>
    </row>
    <row r="90" spans="1:8">
      <c r="A90" t="s">
        <v>152</v>
      </c>
      <c r="B90" t="s">
        <v>132</v>
      </c>
      <c r="C90" t="s">
        <v>27</v>
      </c>
      <c r="D90" t="s">
        <v>153</v>
      </c>
      <c r="E90" t="s">
        <v>23</v>
      </c>
      <c r="F90" t="s">
        <v>166</v>
      </c>
      <c r="G90" t="s">
        <v>13</v>
      </c>
      <c r="H90" t="str">
        <f>IF(ISBLANK(F90),"","Ja")</f>
        <v>Ja</v>
      </c>
    </row>
    <row r="91" spans="1:8">
      <c r="A91" t="s">
        <v>154</v>
      </c>
      <c r="B91" t="s">
        <v>132</v>
      </c>
      <c r="C91" t="s">
        <v>27</v>
      </c>
      <c r="E91" t="s">
        <v>97</v>
      </c>
      <c r="F91" t="s">
        <v>171</v>
      </c>
      <c r="G91" t="s">
        <v>13</v>
      </c>
      <c r="H91" t="str">
        <f>IF(ISBLANK(F91),"","Ja")</f>
        <v>Ja</v>
      </c>
    </row>
    <row r="92" spans="1:8">
      <c r="A92" t="s">
        <v>155</v>
      </c>
      <c r="B92" t="s">
        <v>132</v>
      </c>
      <c r="C92" t="s">
        <v>28</v>
      </c>
      <c r="E92" t="s">
        <v>39</v>
      </c>
      <c r="F92" t="s">
        <v>13</v>
      </c>
      <c r="H92" t="str">
        <f t="shared" si="1"/>
        <v/>
      </c>
    </row>
    <row r="93" spans="1:8">
      <c r="A93" t="s">
        <v>156</v>
      </c>
      <c r="B93" t="s">
        <v>132</v>
      </c>
      <c r="C93" t="s">
        <v>28</v>
      </c>
      <c r="E93" t="s">
        <v>39</v>
      </c>
      <c r="F93" t="s">
        <v>176</v>
      </c>
      <c r="H93" t="str">
        <f t="shared" si="1"/>
        <v/>
      </c>
    </row>
    <row r="94" spans="1:8">
      <c r="A94" t="s">
        <v>157</v>
      </c>
      <c r="B94" t="s">
        <v>132</v>
      </c>
      <c r="C94" t="s">
        <v>27</v>
      </c>
      <c r="E94" t="s">
        <v>39</v>
      </c>
      <c r="F94" t="s">
        <v>13</v>
      </c>
      <c r="H94" t="str">
        <f t="shared" si="1"/>
        <v/>
      </c>
    </row>
    <row r="95" spans="1:8">
      <c r="A95" t="s">
        <v>158</v>
      </c>
      <c r="B95" t="s">
        <v>132</v>
      </c>
      <c r="C95" t="s">
        <v>27</v>
      </c>
      <c r="E95" t="s">
        <v>42</v>
      </c>
      <c r="F95" t="s">
        <v>172</v>
      </c>
      <c r="G95" t="s">
        <v>13</v>
      </c>
      <c r="H95" t="str">
        <f t="shared" si="1"/>
        <v>Ja</v>
      </c>
    </row>
    <row r="96" spans="1:8">
      <c r="A96" t="s">
        <v>159</v>
      </c>
      <c r="B96" t="s">
        <v>132</v>
      </c>
      <c r="C96" t="s">
        <v>27</v>
      </c>
      <c r="D96" t="s">
        <v>160</v>
      </c>
      <c r="E96" t="s">
        <v>42</v>
      </c>
      <c r="F96" t="s">
        <v>74</v>
      </c>
      <c r="H96" t="str">
        <f t="shared" si="1"/>
        <v/>
      </c>
    </row>
    <row r="97" spans="1:8">
      <c r="A97" t="s">
        <v>161</v>
      </c>
      <c r="B97" t="s">
        <v>163</v>
      </c>
      <c r="E97" t="s">
        <v>163</v>
      </c>
      <c r="F97" t="s">
        <v>165</v>
      </c>
      <c r="H97" t="str">
        <f t="shared" si="1"/>
        <v/>
      </c>
    </row>
    <row r="98" spans="1:8">
      <c r="A98" t="s">
        <v>162</v>
      </c>
      <c r="B98" t="s">
        <v>163</v>
      </c>
      <c r="E98" t="s">
        <v>163</v>
      </c>
      <c r="F98" t="s">
        <v>166</v>
      </c>
      <c r="G98" t="s">
        <v>13</v>
      </c>
      <c r="H98" t="str">
        <f t="shared" si="1"/>
        <v>Ja</v>
      </c>
    </row>
    <row r="99" spans="1:8">
      <c r="H99" t="str">
        <f t="shared" si="1"/>
        <v/>
      </c>
    </row>
    <row r="100" spans="1:8">
      <c r="H100" t="str">
        <f t="shared" si="1"/>
        <v/>
      </c>
    </row>
    <row r="101" spans="1:8">
      <c r="H101" t="str">
        <f t="shared" si="1"/>
        <v/>
      </c>
    </row>
    <row r="102" spans="1:8">
      <c r="H102" t="str">
        <f t="shared" si="1"/>
        <v/>
      </c>
    </row>
    <row r="103" spans="1:8">
      <c r="H103" t="str">
        <f t="shared" si="1"/>
        <v/>
      </c>
    </row>
    <row r="104" spans="1:8">
      <c r="H104" t="str">
        <f t="shared" si="1"/>
        <v/>
      </c>
    </row>
    <row r="105" spans="1:8">
      <c r="H105" t="str">
        <f t="shared" si="1"/>
        <v/>
      </c>
    </row>
    <row r="106" spans="1:8">
      <c r="H106" t="str">
        <f t="shared" si="1"/>
        <v/>
      </c>
    </row>
    <row r="107" spans="1:8">
      <c r="H107" t="str">
        <f t="shared" si="1"/>
        <v/>
      </c>
    </row>
    <row r="108" spans="1:8">
      <c r="H108" t="str">
        <f t="shared" si="1"/>
        <v/>
      </c>
    </row>
    <row r="109" spans="1:8">
      <c r="H109" t="str">
        <f t="shared" si="1"/>
        <v/>
      </c>
    </row>
    <row r="110" spans="1:8">
      <c r="H110" t="str">
        <f t="shared" si="1"/>
        <v/>
      </c>
    </row>
  </sheetData>
  <conditionalFormatting sqref="B1:B1048576">
    <cfRule type="containsText" dxfId="8" priority="2" operator="containsText" text="COU">
      <formula>NOT(ISERROR(SEARCH("COU",B1)))</formula>
    </cfRule>
    <cfRule type="containsText" dxfId="7" priority="3" operator="containsText" text="SCI">
      <formula>NOT(ISERROR(SEARCH("SCI",B1)))</formula>
    </cfRule>
    <cfRule type="containsText" dxfId="6" priority="4" operator="containsText" text="MED">
      <formula>NOT(ISERROR(SEARCH("MED",B1)))</formula>
    </cfRule>
    <cfRule type="containsText" dxfId="5" priority="5" operator="containsText" text="ENG">
      <formula>NOT(ISERROR(SEARCH("ENG",B1)))</formula>
    </cfRule>
    <cfRule type="containsText" dxfId="4" priority="6" operator="containsText" text="SEC">
      <formula>NOT(ISERROR(SEARCH("SEC",B1)))</formula>
    </cfRule>
    <cfRule type="containsText" dxfId="3" priority="7" operator="containsText" text="OPS">
      <formula>NOT(ISERROR(SEARCH("OPS",B1)))</formula>
    </cfRule>
    <cfRule type="containsText" dxfId="2" priority="8" operator="containsText" text="CON">
      <formula>NOT(ISERROR(SEARCH("CON",B1)))</formula>
    </cfRule>
    <cfRule type="containsText" dxfId="1" priority="9" operator="containsText" text="CMD">
      <formula>NOT(ISERROR(SEARCH("CMD",B1)))</formula>
    </cfRule>
    <cfRule type="containsText" dxfId="0" priority="1" operator="containsText" text="Zivilist">
      <formula>NOT(ISERROR(SEARCH("Zivilist",B1)))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selection activeCell="X21" sqref="X21"/>
    </sheetView>
  </sheetViews>
  <sheetFormatPr baseColWidth="10" defaultRowHeight="15"/>
  <cols>
    <col min="1" max="1" width="13.42578125" style="2" bestFit="1" customWidth="1"/>
    <col min="2" max="21" width="7.140625" style="2" customWidth="1"/>
    <col min="22" max="16384" width="11.42578125" style="2"/>
  </cols>
  <sheetData>
    <row r="1" spans="1:21" s="3" customFormat="1" ht="30" customHeight="1">
      <c r="A1" s="3" t="s">
        <v>2</v>
      </c>
      <c r="B1" s="15" t="s">
        <v>63</v>
      </c>
      <c r="C1" s="15"/>
      <c r="D1" s="15" t="s">
        <v>58</v>
      </c>
      <c r="E1" s="15"/>
      <c r="F1" s="15" t="s">
        <v>19</v>
      </c>
      <c r="G1" s="15"/>
      <c r="H1" s="15" t="s">
        <v>33</v>
      </c>
      <c r="I1" s="15"/>
      <c r="J1" s="15" t="s">
        <v>46</v>
      </c>
      <c r="K1" s="15"/>
      <c r="L1" s="15" t="s">
        <v>57</v>
      </c>
      <c r="M1" s="15"/>
      <c r="N1" s="15" t="s">
        <v>59</v>
      </c>
      <c r="O1" s="15"/>
      <c r="P1" s="15" t="s">
        <v>60</v>
      </c>
      <c r="Q1" s="15"/>
      <c r="R1" s="15" t="s">
        <v>132</v>
      </c>
      <c r="S1" s="15"/>
      <c r="T1" s="15" t="s">
        <v>164</v>
      </c>
      <c r="U1" s="15"/>
    </row>
    <row r="2" spans="1:21" s="1" customFormat="1">
      <c r="B2" s="1" t="s">
        <v>66</v>
      </c>
      <c r="C2" s="1" t="s">
        <v>65</v>
      </c>
      <c r="D2" s="1" t="s">
        <v>66</v>
      </c>
      <c r="E2" s="1" t="s">
        <v>65</v>
      </c>
      <c r="F2" s="1" t="s">
        <v>66</v>
      </c>
      <c r="G2" s="1" t="s">
        <v>65</v>
      </c>
      <c r="H2" s="1" t="s">
        <v>66</v>
      </c>
      <c r="I2" s="1" t="s">
        <v>65</v>
      </c>
      <c r="J2" s="1" t="s">
        <v>66</v>
      </c>
      <c r="K2" s="1" t="s">
        <v>65</v>
      </c>
      <c r="L2" s="1" t="s">
        <v>66</v>
      </c>
      <c r="M2" s="1" t="s">
        <v>65</v>
      </c>
      <c r="N2" s="1" t="s">
        <v>66</v>
      </c>
      <c r="O2" s="1" t="s">
        <v>65</v>
      </c>
      <c r="P2" s="1" t="s">
        <v>66</v>
      </c>
      <c r="Q2" s="1" t="s">
        <v>65</v>
      </c>
      <c r="R2" s="1" t="s">
        <v>66</v>
      </c>
      <c r="S2" s="1" t="s">
        <v>65</v>
      </c>
      <c r="T2" s="1" t="s">
        <v>66</v>
      </c>
      <c r="U2" s="1" t="s">
        <v>65</v>
      </c>
    </row>
    <row r="3" spans="1:21" s="1" customFormat="1">
      <c r="A3" s="1" t="s">
        <v>54</v>
      </c>
      <c r="B3" s="1">
        <f>COUNTA(Crewmanifest!F:F)-1</f>
        <v>97</v>
      </c>
      <c r="C3" s="7">
        <f t="shared" ref="C3:C16" si="0">B3/B$3</f>
        <v>1</v>
      </c>
      <c r="D3" s="1">
        <f>COUNTIF(Crewmanifest!$B:$B,"CMD")</f>
        <v>3</v>
      </c>
      <c r="E3" s="7">
        <f>D3/D$3</f>
        <v>1</v>
      </c>
      <c r="F3" s="1">
        <f>COUNTIF(Crewmanifest!$B:$B,"CON")</f>
        <v>5</v>
      </c>
      <c r="G3" s="7">
        <f>F3/F$3</f>
        <v>1</v>
      </c>
      <c r="H3" s="1">
        <f>COUNTIF(Crewmanifest!$B:$B,"OPS")</f>
        <v>9</v>
      </c>
      <c r="I3" s="7">
        <f>H3/H$3</f>
        <v>1</v>
      </c>
      <c r="J3" s="1">
        <f>COUNTIF(Crewmanifest!$B:$B,"SEC")</f>
        <v>24</v>
      </c>
      <c r="K3" s="7">
        <f>J3/J$3</f>
        <v>1</v>
      </c>
      <c r="L3" s="1">
        <f>COUNTIF(Crewmanifest!$B:$B,"ENG")</f>
        <v>18</v>
      </c>
      <c r="M3" s="7">
        <f>L3/L$3</f>
        <v>1</v>
      </c>
      <c r="N3" s="1">
        <f>COUNTIF(Crewmanifest!$B:$B,"MED")</f>
        <v>13</v>
      </c>
      <c r="O3" s="7">
        <f>N3/N$3</f>
        <v>1</v>
      </c>
      <c r="P3" s="1">
        <f>COUNTIF(Crewmanifest!$B:$B,"SCI")</f>
        <v>16</v>
      </c>
      <c r="Q3" s="7">
        <f>P3/P$3</f>
        <v>1</v>
      </c>
      <c r="R3" s="1">
        <f>COUNTIF(Crewmanifest!$B:$B,"COU")</f>
        <v>7</v>
      </c>
      <c r="S3" s="7">
        <f>R3/R$3</f>
        <v>1</v>
      </c>
      <c r="T3" s="1">
        <f>COUNTIF(Crewmanifest!E:E,"Zivilist")</f>
        <v>2</v>
      </c>
      <c r="U3" s="7">
        <f>T3/T$3</f>
        <v>1</v>
      </c>
    </row>
    <row r="4" spans="1:21">
      <c r="A4" s="2" t="s">
        <v>7</v>
      </c>
      <c r="B4" s="2">
        <f>COUNTIFS(Crewmanifest!F:F,'Speziesanteile nach Abteilungen'!A4,Crewmanifest!H:H,"")+COUNTIFS(Crewmanifest!G:G,'Speziesanteile nach Abteilungen'!A4,Crewmanifest!H:H,"")</f>
        <v>2</v>
      </c>
      <c r="C4" s="7">
        <f t="shared" si="0"/>
        <v>2.0618556701030927E-2</v>
      </c>
      <c r="D4" s="2">
        <f>COUNTIFS(Crewmanifest!F:F,'Speziesanteile nach Abteilungen'!A4,Crewmanifest!H:H,"",Crewmanifest!B:B,"CMD")+COUNTIFS(Crewmanifest!G:G,'Speziesanteile nach Abteilungen'!A4,Crewmanifest!H:H,"",Crewmanifest!B:B,"CMD")</f>
        <v>1</v>
      </c>
      <c r="E4" s="7">
        <f t="shared" ref="E4:E16" si="1">D4/D$3</f>
        <v>0.33333333333333331</v>
      </c>
      <c r="F4" s="2">
        <f>COUNTIFS(Crewmanifest!F:F,'Speziesanteile nach Abteilungen'!A4,Crewmanifest!H:H,"",Crewmanifest!B:B,"CON")+COUNTIFS(Crewmanifest!G:G,'Speziesanteile nach Abteilungen'!A4,Crewmanifest!H:H,"",Crewmanifest!B:B,"CON")</f>
        <v>0</v>
      </c>
      <c r="G4" s="7">
        <f t="shared" ref="G4:G16" si="2">F4/F$3</f>
        <v>0</v>
      </c>
      <c r="H4" s="2">
        <f>COUNTIFS(Crewmanifest!F:F,'Speziesanteile nach Abteilungen'!A4,Crewmanifest!H:H,"",Crewmanifest!B:B,"OPS")+COUNTIFS(Crewmanifest!G:G,'Speziesanteile nach Abteilungen'!A4,Crewmanifest!H:H,"",Crewmanifest!B:B,"OPS")</f>
        <v>0</v>
      </c>
      <c r="I4" s="7">
        <f t="shared" ref="I4:I16" si="3">H4/H$3</f>
        <v>0</v>
      </c>
      <c r="J4" s="2">
        <f>COUNTIFS(Crewmanifest!F:F,'Speziesanteile nach Abteilungen'!A4,Crewmanifest!H:H,"",Crewmanifest!B:B,"SEC")+COUNTIFS(Crewmanifest!G:G,'Speziesanteile nach Abteilungen'!A4,Crewmanifest!H:H,"",Crewmanifest!B:B,"SEC")</f>
        <v>0</v>
      </c>
      <c r="K4" s="7">
        <f t="shared" ref="K4:K16" si="4">J4/J$3</f>
        <v>0</v>
      </c>
      <c r="L4" s="2">
        <f>COUNTIFS(Crewmanifest!F:F,'Speziesanteile nach Abteilungen'!A4,Crewmanifest!H:H,"",Crewmanifest!B:B,"ENG")+COUNTIFS(Crewmanifest!G:G,'Speziesanteile nach Abteilungen'!A4,Crewmanifest!H:H,"",Crewmanifest!B:B,"ENG")</f>
        <v>0</v>
      </c>
      <c r="M4" s="7">
        <f t="shared" ref="M4:M16" si="5">L4/L$3</f>
        <v>0</v>
      </c>
      <c r="N4" s="2">
        <f>COUNTIFS(Crewmanifest!F:F,'Speziesanteile nach Abteilungen'!A4,Crewmanifest!H:H,"",Crewmanifest!B:B,"MED")+COUNTIFS(Crewmanifest!G:G,'Speziesanteile nach Abteilungen'!A4,Crewmanifest!H:H,"",Crewmanifest!B:B,"MED")</f>
        <v>1</v>
      </c>
      <c r="O4" s="7">
        <f t="shared" ref="O4:O16" si="6">N4/N$3</f>
        <v>7.6923076923076927E-2</v>
      </c>
      <c r="P4" s="2">
        <f>COUNTIFS(Crewmanifest!F:F,'Speziesanteile nach Abteilungen'!A4,Crewmanifest!H:H,"",Crewmanifest!B:B,"SCI")+COUNTIFS(Crewmanifest!G:G,'Speziesanteile nach Abteilungen'!A4,Crewmanifest!H:H,"",Crewmanifest!B:B,"SCI")</f>
        <v>0</v>
      </c>
      <c r="Q4" s="7">
        <f t="shared" ref="Q4:S16" si="7">P4/P$3</f>
        <v>0</v>
      </c>
      <c r="R4" s="2">
        <f>COUNTIFS(Crewmanifest!F:F,'Speziesanteile nach Abteilungen'!A4,Crewmanifest!H:H,"",Crewmanifest!B:B,"COU")+COUNTIFS(Crewmanifest!G:G,'Speziesanteile nach Abteilungen'!A4,Crewmanifest!H:H,"",Crewmanifest!B:B,"COU")</f>
        <v>0</v>
      </c>
      <c r="S4" s="7">
        <f t="shared" si="7"/>
        <v>0</v>
      </c>
      <c r="T4" s="2">
        <f>COUNTIFS(Crewmanifest!F:F,'Speziesanteile nach Abteilungen'!A4,Crewmanifest!H:H,"",Crewmanifest!B:B,"Zivilist")+COUNTIFS(Crewmanifest!G:G,'Speziesanteile nach Abteilungen'!A4,Crewmanifest!H:H,"",Crewmanifest!B:B,"Zivilist")</f>
        <v>0</v>
      </c>
      <c r="U4" s="7">
        <f t="shared" ref="U4:U16" si="8">T4/T$3</f>
        <v>0</v>
      </c>
    </row>
    <row r="5" spans="1:21">
      <c r="A5" s="2" t="s">
        <v>168</v>
      </c>
      <c r="B5" s="2">
        <f>COUNTIFS(Crewmanifest!F:F,'Speziesanteile nach Abteilungen'!A5,Crewmanifest!H:H,"")+COUNTIFS(Crewmanifest!G:G,'Speziesanteile nach Abteilungen'!A5,Crewmanifest!H:H,"")</f>
        <v>2</v>
      </c>
      <c r="C5" s="7">
        <f t="shared" si="0"/>
        <v>2.0618556701030927E-2</v>
      </c>
      <c r="D5" s="2">
        <f>COUNTIFS(Crewmanifest!F:F,'Speziesanteile nach Abteilungen'!A5,Crewmanifest!H:H,"",Crewmanifest!B:B,"CMD")+COUNTIFS(Crewmanifest!G:G,'Speziesanteile nach Abteilungen'!A5,Crewmanifest!H:H,"",Crewmanifest!B:B,"CMD")</f>
        <v>0</v>
      </c>
      <c r="E5" s="7">
        <f t="shared" si="1"/>
        <v>0</v>
      </c>
      <c r="F5" s="2">
        <f>COUNTIFS(Crewmanifest!F:F,'Speziesanteile nach Abteilungen'!A5,Crewmanifest!H:H,"",Crewmanifest!B:B,"CON")+COUNTIFS(Crewmanifest!G:G,'Speziesanteile nach Abteilungen'!A5,Crewmanifest!H:H,"",Crewmanifest!B:B,"CON")</f>
        <v>0</v>
      </c>
      <c r="G5" s="7">
        <f t="shared" si="2"/>
        <v>0</v>
      </c>
      <c r="H5" s="2">
        <f>COUNTIFS(Crewmanifest!F:F,'Speziesanteile nach Abteilungen'!A5,Crewmanifest!H:H,"",Crewmanifest!B:B,"OPS")+COUNTIFS(Crewmanifest!G:G,'Speziesanteile nach Abteilungen'!A5,Crewmanifest!H:H,"",Crewmanifest!B:B,"OPS")</f>
        <v>0</v>
      </c>
      <c r="I5" s="7">
        <f t="shared" si="3"/>
        <v>0</v>
      </c>
      <c r="J5" s="2">
        <f>COUNTIFS(Crewmanifest!F:F,'Speziesanteile nach Abteilungen'!A5,Crewmanifest!H:H,"",Crewmanifest!B:B,"SEC")+COUNTIFS(Crewmanifest!G:G,'Speziesanteile nach Abteilungen'!A5,Crewmanifest!H:H,"",Crewmanifest!B:B,"SEC")</f>
        <v>0</v>
      </c>
      <c r="K5" s="7">
        <f t="shared" si="4"/>
        <v>0</v>
      </c>
      <c r="L5" s="2">
        <f>COUNTIFS(Crewmanifest!F:F,'Speziesanteile nach Abteilungen'!A5,Crewmanifest!H:H,"",Crewmanifest!B:B,"ENG")+COUNTIFS(Crewmanifest!G:G,'Speziesanteile nach Abteilungen'!A5,Crewmanifest!H:H,"",Crewmanifest!B:B,"ENG")</f>
        <v>0</v>
      </c>
      <c r="M5" s="7">
        <f t="shared" si="5"/>
        <v>0</v>
      </c>
      <c r="N5" s="2">
        <f>COUNTIFS(Crewmanifest!F:F,'Speziesanteile nach Abteilungen'!A5,Crewmanifest!H:H,"",Crewmanifest!B:B,"MED")+COUNTIFS(Crewmanifest!G:G,'Speziesanteile nach Abteilungen'!A5,Crewmanifest!H:H,"",Crewmanifest!B:B,"MED")</f>
        <v>0</v>
      </c>
      <c r="O5" s="7">
        <f t="shared" si="6"/>
        <v>0</v>
      </c>
      <c r="P5" s="2">
        <f>COUNTIFS(Crewmanifest!F:F,'Speziesanteile nach Abteilungen'!A5,Crewmanifest!H:H,"",Crewmanifest!B:B,"SCI")+COUNTIFS(Crewmanifest!G:G,'Speziesanteile nach Abteilungen'!A5,Crewmanifest!H:H,"",Crewmanifest!B:B,"SCI")</f>
        <v>2</v>
      </c>
      <c r="Q5" s="7">
        <f t="shared" si="7"/>
        <v>0.125</v>
      </c>
      <c r="R5" s="2">
        <f>COUNTIFS(Crewmanifest!F:F,'Speziesanteile nach Abteilungen'!A5,Crewmanifest!H:H,"",Crewmanifest!B:B,"COU")+COUNTIFS(Crewmanifest!G:G,'Speziesanteile nach Abteilungen'!A5,Crewmanifest!H:H,"",Crewmanifest!B:B,"COU")</f>
        <v>0</v>
      </c>
      <c r="S5" s="7">
        <f t="shared" si="7"/>
        <v>0</v>
      </c>
      <c r="T5" s="2">
        <f>COUNTIFS(Crewmanifest!F:F,'Speziesanteile nach Abteilungen'!A5,Crewmanifest!H:H,"",Crewmanifest!B:B,"Zivilist")+COUNTIFS(Crewmanifest!G:G,'Speziesanteile nach Abteilungen'!A5,Crewmanifest!H:H,"",Crewmanifest!B:B,"Zivilist")</f>
        <v>0</v>
      </c>
      <c r="U5" s="7">
        <f t="shared" si="8"/>
        <v>0</v>
      </c>
    </row>
    <row r="6" spans="1:21">
      <c r="A6" s="2" t="s">
        <v>62</v>
      </c>
      <c r="B6" s="2">
        <f>COUNTIFS(Crewmanifest!F:F,'Speziesanteile nach Abteilungen'!A6,Crewmanifest!H:H,"")+COUNTIFS(Crewmanifest!G:G,'Speziesanteile nach Abteilungen'!A6,Crewmanifest!H:H,"")</f>
        <v>2</v>
      </c>
      <c r="C6" s="7">
        <f t="shared" si="0"/>
        <v>2.0618556701030927E-2</v>
      </c>
      <c r="D6" s="2">
        <f>COUNTIFS(Crewmanifest!F:F,'Speziesanteile nach Abteilungen'!A6,Crewmanifest!H:H,"",Crewmanifest!B:B,"CMD")+COUNTIFS(Crewmanifest!G:G,'Speziesanteile nach Abteilungen'!A6,Crewmanifest!H:H,"",Crewmanifest!B:B,"CMD")</f>
        <v>0</v>
      </c>
      <c r="E6" s="7">
        <f t="shared" si="1"/>
        <v>0</v>
      </c>
      <c r="F6" s="2">
        <f>COUNTIFS(Crewmanifest!F:F,'Speziesanteile nach Abteilungen'!A6,Crewmanifest!H:H,"",Crewmanifest!B:B,"CON")+COUNTIFS(Crewmanifest!G:G,'Speziesanteile nach Abteilungen'!A6,Crewmanifest!H:H,"",Crewmanifest!B:B,"CON")</f>
        <v>0</v>
      </c>
      <c r="G6" s="7">
        <f t="shared" si="2"/>
        <v>0</v>
      </c>
      <c r="H6" s="2">
        <f>COUNTIFS(Crewmanifest!F:F,'Speziesanteile nach Abteilungen'!A6,Crewmanifest!H:H,"",Crewmanifest!B:B,"OPS")+COUNTIFS(Crewmanifest!G:G,'Speziesanteile nach Abteilungen'!A6,Crewmanifest!H:H,"",Crewmanifest!B:B,"OPS")</f>
        <v>0</v>
      </c>
      <c r="I6" s="7">
        <f t="shared" si="3"/>
        <v>0</v>
      </c>
      <c r="J6" s="2">
        <f>COUNTIFS(Crewmanifest!F:F,'Speziesanteile nach Abteilungen'!A6,Crewmanifest!H:H,"",Crewmanifest!B:B,"SEC")+COUNTIFS(Crewmanifest!G:G,'Speziesanteile nach Abteilungen'!A6,Crewmanifest!H:H,"",Crewmanifest!B:B,"SEC")</f>
        <v>1</v>
      </c>
      <c r="K6" s="7">
        <f t="shared" si="4"/>
        <v>4.1666666666666664E-2</v>
      </c>
      <c r="L6" s="2">
        <f>COUNTIFS(Crewmanifest!F:F,'Speziesanteile nach Abteilungen'!A6,Crewmanifest!H:H,"",Crewmanifest!B:B,"ENG")+COUNTIFS(Crewmanifest!G:G,'Speziesanteile nach Abteilungen'!A6,Crewmanifest!H:H,"",Crewmanifest!B:B,"ENG")</f>
        <v>0</v>
      </c>
      <c r="M6" s="7">
        <f t="shared" si="5"/>
        <v>0</v>
      </c>
      <c r="N6" s="2">
        <f>COUNTIFS(Crewmanifest!F:F,'Speziesanteile nach Abteilungen'!A6,Crewmanifest!H:H,"",Crewmanifest!B:B,"MED")+COUNTIFS(Crewmanifest!G:G,'Speziesanteile nach Abteilungen'!A6,Crewmanifest!H:H,"",Crewmanifest!B:B,"MED")</f>
        <v>1</v>
      </c>
      <c r="O6" s="7">
        <f t="shared" si="6"/>
        <v>7.6923076923076927E-2</v>
      </c>
      <c r="P6" s="2">
        <f>COUNTIFS(Crewmanifest!F:F,'Speziesanteile nach Abteilungen'!A6,Crewmanifest!H:H,"",Crewmanifest!B:B,"SCI")+COUNTIFS(Crewmanifest!G:G,'Speziesanteile nach Abteilungen'!A6,Crewmanifest!H:H,"",Crewmanifest!B:B,"SCI")</f>
        <v>0</v>
      </c>
      <c r="Q6" s="7">
        <f t="shared" si="7"/>
        <v>0</v>
      </c>
      <c r="R6" s="2">
        <f>COUNTIFS(Crewmanifest!F:F,'Speziesanteile nach Abteilungen'!A6,Crewmanifest!H:H,"",Crewmanifest!B:B,"COU")+COUNTIFS(Crewmanifest!G:G,'Speziesanteile nach Abteilungen'!A6,Crewmanifest!H:H,"",Crewmanifest!B:B,"COU")</f>
        <v>0</v>
      </c>
      <c r="S6" s="7">
        <f t="shared" si="7"/>
        <v>0</v>
      </c>
      <c r="T6" s="2">
        <f>COUNTIFS(Crewmanifest!F:F,'Speziesanteile nach Abteilungen'!A6,Crewmanifest!H:H,"",Crewmanifest!B:B,"Zivilist")+COUNTIFS(Crewmanifest!G:G,'Speziesanteile nach Abteilungen'!A6,Crewmanifest!H:H,"",Crewmanifest!B:B,"Zivilist")</f>
        <v>0</v>
      </c>
      <c r="U6" s="7">
        <f t="shared" si="8"/>
        <v>0</v>
      </c>
    </row>
    <row r="7" spans="1:21">
      <c r="A7" s="2" t="s">
        <v>175</v>
      </c>
      <c r="B7" s="2">
        <f>COUNTIFS(Crewmanifest!F:F,'Speziesanteile nach Abteilungen'!A7,Crewmanifest!H:H,"")+COUNTIFS(Crewmanifest!G:G,'Speziesanteile nach Abteilungen'!A7,Crewmanifest!H:H,"")</f>
        <v>1</v>
      </c>
      <c r="C7" s="7">
        <f t="shared" si="0"/>
        <v>1.0309278350515464E-2</v>
      </c>
      <c r="D7" s="2">
        <f>COUNTIFS(Crewmanifest!F:F,'Speziesanteile nach Abteilungen'!A7,Crewmanifest!H:H,"",Crewmanifest!B:B,"CMD")+COUNTIFS(Crewmanifest!G:G,'Speziesanteile nach Abteilungen'!A7,Crewmanifest!H:H,"",Crewmanifest!B:B,"CMD")</f>
        <v>0</v>
      </c>
      <c r="E7" s="7">
        <f t="shared" ref="E7" si="9">D7/D$3</f>
        <v>0</v>
      </c>
      <c r="F7" s="2">
        <f>COUNTIFS(Crewmanifest!F:F,'Speziesanteile nach Abteilungen'!A7,Crewmanifest!H:H,"",Crewmanifest!B:B,"CON")+COUNTIFS(Crewmanifest!G:G,'Speziesanteile nach Abteilungen'!A7,Crewmanifest!H:H,"",Crewmanifest!B:B,"CON")</f>
        <v>0</v>
      </c>
      <c r="G7" s="7">
        <f t="shared" ref="G7" si="10">F7/F$3</f>
        <v>0</v>
      </c>
      <c r="H7" s="2">
        <f>COUNTIFS(Crewmanifest!F:F,'Speziesanteile nach Abteilungen'!A7,Crewmanifest!H:H,"",Crewmanifest!B:B,"OPS")+COUNTIFS(Crewmanifest!G:G,'Speziesanteile nach Abteilungen'!A7,Crewmanifest!H:H,"",Crewmanifest!B:B,"OPS")</f>
        <v>0</v>
      </c>
      <c r="I7" s="7">
        <f t="shared" ref="I7" si="11">H7/H$3</f>
        <v>0</v>
      </c>
      <c r="J7" s="2">
        <f>COUNTIFS(Crewmanifest!F:F,'Speziesanteile nach Abteilungen'!A7,Crewmanifest!H:H,"",Crewmanifest!B:B,"SEC")+COUNTIFS(Crewmanifest!G:G,'Speziesanteile nach Abteilungen'!A7,Crewmanifest!H:H,"",Crewmanifest!B:B,"SEC")</f>
        <v>0</v>
      </c>
      <c r="K7" s="7">
        <f t="shared" ref="K7" si="12">J7/J$3</f>
        <v>0</v>
      </c>
      <c r="L7" s="2">
        <f>COUNTIFS(Crewmanifest!F:F,'Speziesanteile nach Abteilungen'!A7,Crewmanifest!H:H,"",Crewmanifest!B:B,"ENG")+COUNTIFS(Crewmanifest!G:G,'Speziesanteile nach Abteilungen'!A7,Crewmanifest!H:H,"",Crewmanifest!B:B,"ENG")</f>
        <v>0</v>
      </c>
      <c r="M7" s="7">
        <f t="shared" ref="M7" si="13">L7/L$3</f>
        <v>0</v>
      </c>
      <c r="N7" s="2">
        <f>COUNTIFS(Crewmanifest!F:F,'Speziesanteile nach Abteilungen'!A7,Crewmanifest!H:H,"",Crewmanifest!B:B,"MED")+COUNTIFS(Crewmanifest!G:G,'Speziesanteile nach Abteilungen'!A7,Crewmanifest!H:H,"",Crewmanifest!B:B,"MED")</f>
        <v>0</v>
      </c>
      <c r="O7" s="7">
        <f t="shared" ref="O7" si="14">N7/N$3</f>
        <v>0</v>
      </c>
      <c r="P7" s="2">
        <f>COUNTIFS(Crewmanifest!F:F,'Speziesanteile nach Abteilungen'!A7,Crewmanifest!H:H,"",Crewmanifest!B:B,"SCI")+COUNTIFS(Crewmanifest!G:G,'Speziesanteile nach Abteilungen'!A7,Crewmanifest!H:H,"",Crewmanifest!B:B,"SCI")</f>
        <v>1</v>
      </c>
      <c r="Q7" s="7">
        <f t="shared" ref="Q7" si="15">P7/P$3</f>
        <v>6.25E-2</v>
      </c>
      <c r="R7" s="2">
        <f>COUNTIFS(Crewmanifest!F:F,'Speziesanteile nach Abteilungen'!A7,Crewmanifest!H:H,"",Crewmanifest!B:B,"COU")+COUNTIFS(Crewmanifest!G:G,'Speziesanteile nach Abteilungen'!A7,Crewmanifest!H:H,"",Crewmanifest!B:B,"COU")</f>
        <v>0</v>
      </c>
      <c r="S7" s="7">
        <f t="shared" ref="S7" si="16">R7/R$3</f>
        <v>0</v>
      </c>
      <c r="T7" s="2">
        <f>COUNTIFS(Crewmanifest!F:F,'Speziesanteile nach Abteilungen'!A7,Crewmanifest!H:H,"",Crewmanifest!B:B,"Zivilist")+COUNTIFS(Crewmanifest!G:G,'Speziesanteile nach Abteilungen'!A7,Crewmanifest!H:H,"",Crewmanifest!B:B,"Zivilist")</f>
        <v>0</v>
      </c>
      <c r="U7" s="7">
        <f t="shared" ref="U7" si="17">T7/T$3</f>
        <v>0</v>
      </c>
    </row>
    <row r="8" spans="1:21">
      <c r="A8" s="2" t="s">
        <v>165</v>
      </c>
      <c r="B8" s="2">
        <f>COUNTIFS(Crewmanifest!F:F,'Speziesanteile nach Abteilungen'!A8,Crewmanifest!H:H,"")+COUNTIFS(Crewmanifest!G:G,'Speziesanteile nach Abteilungen'!A8,Crewmanifest!H:H,"")</f>
        <v>2</v>
      </c>
      <c r="C8" s="7">
        <f t="shared" si="0"/>
        <v>2.0618556701030927E-2</v>
      </c>
      <c r="D8" s="2">
        <f>COUNTIFS(Crewmanifest!F:F,'Speziesanteile nach Abteilungen'!A8,Crewmanifest!H:H,"",Crewmanifest!B:B,"CMD")+COUNTIFS(Crewmanifest!G:G,'Speziesanteile nach Abteilungen'!A8,Crewmanifest!H:H,"",Crewmanifest!B:B,"CMD")</f>
        <v>0</v>
      </c>
      <c r="E8" s="7">
        <f t="shared" si="1"/>
        <v>0</v>
      </c>
      <c r="F8" s="2">
        <f>COUNTIFS(Crewmanifest!F:F,'Speziesanteile nach Abteilungen'!A8,Crewmanifest!H:H,"",Crewmanifest!B:B,"CON")+COUNTIFS(Crewmanifest!G:G,'Speziesanteile nach Abteilungen'!A8,Crewmanifest!H:H,"",Crewmanifest!B:B,"CON")</f>
        <v>0</v>
      </c>
      <c r="G8" s="7">
        <f t="shared" si="2"/>
        <v>0</v>
      </c>
      <c r="H8" s="2">
        <f>COUNTIFS(Crewmanifest!F:F,'Speziesanteile nach Abteilungen'!A8,Crewmanifest!H:H,"",Crewmanifest!B:B,"OPS")+COUNTIFS(Crewmanifest!G:G,'Speziesanteile nach Abteilungen'!A8,Crewmanifest!H:H,"",Crewmanifest!B:B,"OPS")</f>
        <v>0</v>
      </c>
      <c r="I8" s="7">
        <f t="shared" si="3"/>
        <v>0</v>
      </c>
      <c r="J8" s="2">
        <f>COUNTIFS(Crewmanifest!F:F,'Speziesanteile nach Abteilungen'!A8,Crewmanifest!H:H,"",Crewmanifest!B:B,"SEC")+COUNTIFS(Crewmanifest!G:G,'Speziesanteile nach Abteilungen'!A8,Crewmanifest!H:H,"",Crewmanifest!B:B,"SEC")</f>
        <v>1</v>
      </c>
      <c r="K8" s="7">
        <f t="shared" si="4"/>
        <v>4.1666666666666664E-2</v>
      </c>
      <c r="L8" s="2">
        <f>COUNTIFS(Crewmanifest!F:F,'Speziesanteile nach Abteilungen'!A8,Crewmanifest!H:H,"",Crewmanifest!B:B,"ENG")+COUNTIFS(Crewmanifest!G:G,'Speziesanteile nach Abteilungen'!A8,Crewmanifest!H:H,"",Crewmanifest!B:B,"ENG")</f>
        <v>0</v>
      </c>
      <c r="M8" s="7">
        <f t="shared" si="5"/>
        <v>0</v>
      </c>
      <c r="N8" s="2">
        <f>COUNTIFS(Crewmanifest!F:F,'Speziesanteile nach Abteilungen'!A8,Crewmanifest!H:H,"",Crewmanifest!B:B,"MED")+COUNTIFS(Crewmanifest!G:G,'Speziesanteile nach Abteilungen'!A8,Crewmanifest!H:H,"",Crewmanifest!B:B,"MED")</f>
        <v>0</v>
      </c>
      <c r="O8" s="7">
        <f t="shared" si="6"/>
        <v>0</v>
      </c>
      <c r="P8" s="2">
        <f>COUNTIFS(Crewmanifest!F:F,'Speziesanteile nach Abteilungen'!A8,Crewmanifest!H:H,"",Crewmanifest!B:B,"SCI")+COUNTIFS(Crewmanifest!G:G,'Speziesanteile nach Abteilungen'!A8,Crewmanifest!H:H,"",Crewmanifest!B:B,"SCI")</f>
        <v>0</v>
      </c>
      <c r="Q8" s="7">
        <f t="shared" si="7"/>
        <v>0</v>
      </c>
      <c r="R8" s="2">
        <f>COUNTIFS(Crewmanifest!F:F,'Speziesanteile nach Abteilungen'!A8,Crewmanifest!H:H,"",Crewmanifest!B:B,"COU")+COUNTIFS(Crewmanifest!G:G,'Speziesanteile nach Abteilungen'!A8,Crewmanifest!H:H,"",Crewmanifest!B:B,"COU")</f>
        <v>0</v>
      </c>
      <c r="S8" s="7">
        <f t="shared" si="7"/>
        <v>0</v>
      </c>
      <c r="T8" s="2">
        <f>COUNTIFS(Crewmanifest!F:F,'Speziesanteile nach Abteilungen'!A8,Crewmanifest!H:H,"",Crewmanifest!B:B,"Zivilist")+COUNTIFS(Crewmanifest!G:G,'Speziesanteile nach Abteilungen'!A8,Crewmanifest!H:H,"",Crewmanifest!B:B,"Zivilist")</f>
        <v>1</v>
      </c>
      <c r="U8" s="7">
        <f t="shared" si="8"/>
        <v>0.5</v>
      </c>
    </row>
    <row r="9" spans="1:21">
      <c r="A9" s="2" t="s">
        <v>13</v>
      </c>
      <c r="B9" s="2">
        <f>COUNTIFS(Crewmanifest!F:F,'Speziesanteile nach Abteilungen'!A9,Crewmanifest!H:H,"")+COUNTIFS(Crewmanifest!G:G,'Speziesanteile nach Abteilungen'!A9,Crewmanifest!H:H,"")</f>
        <v>49</v>
      </c>
      <c r="C9" s="7">
        <f t="shared" si="0"/>
        <v>0.50515463917525771</v>
      </c>
      <c r="D9" s="2">
        <f>COUNTIFS(Crewmanifest!F:F,'Speziesanteile nach Abteilungen'!A9,Crewmanifest!H:H,"",Crewmanifest!B:B,"CMD")+COUNTIFS(Crewmanifest!G:G,'Speziesanteile nach Abteilungen'!A9,Crewmanifest!H:H,"",Crewmanifest!B:B,"CMD")</f>
        <v>1</v>
      </c>
      <c r="E9" s="7">
        <f t="shared" si="1"/>
        <v>0.33333333333333331</v>
      </c>
      <c r="F9" s="2">
        <f>COUNTIFS(Crewmanifest!F:F,'Speziesanteile nach Abteilungen'!A9,Crewmanifest!H:H,"",Crewmanifest!B:B,"CON")+COUNTIFS(Crewmanifest!G:G,'Speziesanteile nach Abteilungen'!A9,Crewmanifest!H:H,"",Crewmanifest!B:B,"CON")</f>
        <v>4</v>
      </c>
      <c r="G9" s="7">
        <f t="shared" si="2"/>
        <v>0.8</v>
      </c>
      <c r="H9" s="2">
        <f>COUNTIFS(Crewmanifest!F:F,'Speziesanteile nach Abteilungen'!A9,Crewmanifest!H:H,"",Crewmanifest!B:B,"OPS")+COUNTIFS(Crewmanifest!G:G,'Speziesanteile nach Abteilungen'!A9,Crewmanifest!H:H,"",Crewmanifest!B:B,"OPS")</f>
        <v>4</v>
      </c>
      <c r="I9" s="7">
        <f t="shared" si="3"/>
        <v>0.44444444444444442</v>
      </c>
      <c r="J9" s="2">
        <f>COUNTIFS(Crewmanifest!F:F,'Speziesanteile nach Abteilungen'!A9,Crewmanifest!H:H,"",Crewmanifest!B:B,"SEC")+COUNTIFS(Crewmanifest!G:G,'Speziesanteile nach Abteilungen'!A9,Crewmanifest!H:H,"",Crewmanifest!B:B,"SEC")</f>
        <v>14</v>
      </c>
      <c r="K9" s="7">
        <f t="shared" si="4"/>
        <v>0.58333333333333337</v>
      </c>
      <c r="L9" s="2">
        <f>COUNTIFS(Crewmanifest!F:F,'Speziesanteile nach Abteilungen'!A9,Crewmanifest!H:H,"",Crewmanifest!B:B,"ENG")+COUNTIFS(Crewmanifest!G:G,'Speziesanteile nach Abteilungen'!A9,Crewmanifest!H:H,"",Crewmanifest!B:B,"ENG")</f>
        <v>10</v>
      </c>
      <c r="M9" s="7">
        <f t="shared" si="5"/>
        <v>0.55555555555555558</v>
      </c>
      <c r="N9" s="2">
        <f>COUNTIFS(Crewmanifest!F:F,'Speziesanteile nach Abteilungen'!A9,Crewmanifest!H:H,"",Crewmanifest!B:B,"MED")+COUNTIFS(Crewmanifest!G:G,'Speziesanteile nach Abteilungen'!A9,Crewmanifest!H:H,"",Crewmanifest!B:B,"MED")</f>
        <v>6</v>
      </c>
      <c r="O9" s="7">
        <f t="shared" si="6"/>
        <v>0.46153846153846156</v>
      </c>
      <c r="P9" s="2">
        <f>COUNTIFS(Crewmanifest!F:F,'Speziesanteile nach Abteilungen'!A9,Crewmanifest!H:H,"",Crewmanifest!B:B,"SCI")+COUNTIFS(Crewmanifest!G:G,'Speziesanteile nach Abteilungen'!A9,Crewmanifest!H:H,"",Crewmanifest!B:B,"SCI")</f>
        <v>8</v>
      </c>
      <c r="Q9" s="7">
        <f t="shared" si="7"/>
        <v>0.5</v>
      </c>
      <c r="R9" s="2">
        <f>COUNTIFS(Crewmanifest!F:F,'Speziesanteile nach Abteilungen'!A9,Crewmanifest!H:H,"",Crewmanifest!B:B,"COU")+COUNTIFS(Crewmanifest!G:G,'Speziesanteile nach Abteilungen'!A9,Crewmanifest!H:H,"",Crewmanifest!B:B,"COU")</f>
        <v>2</v>
      </c>
      <c r="S9" s="7">
        <f t="shared" si="7"/>
        <v>0.2857142857142857</v>
      </c>
      <c r="T9" s="2">
        <f>COUNTIFS(Crewmanifest!F:F,'Speziesanteile nach Abteilungen'!A9,Crewmanifest!H:H,"",Crewmanifest!B:B,"Zivilist")+COUNTIFS(Crewmanifest!G:G,'Speziesanteile nach Abteilungen'!A9,Crewmanifest!H:H,"",Crewmanifest!B:B,"Zivilist")</f>
        <v>0</v>
      </c>
      <c r="U9" s="7">
        <f t="shared" si="8"/>
        <v>0</v>
      </c>
    </row>
    <row r="10" spans="1:21">
      <c r="A10" s="2" t="s">
        <v>174</v>
      </c>
      <c r="B10" s="2">
        <f>COUNTIFS(Crewmanifest!F:F,'Speziesanteile nach Abteilungen'!A10,Crewmanifest!H:H,"")+COUNTIFS(Crewmanifest!G:G,'Speziesanteile nach Abteilungen'!A10,Crewmanifest!H:H,"")</f>
        <v>1</v>
      </c>
      <c r="C10" s="7">
        <f t="shared" si="0"/>
        <v>1.0309278350515464E-2</v>
      </c>
      <c r="D10" s="2">
        <f>COUNTIFS(Crewmanifest!F:F,'Speziesanteile nach Abteilungen'!A10,Crewmanifest!H:H,"",Crewmanifest!B:B,"CMD")+COUNTIFS(Crewmanifest!G:G,'Speziesanteile nach Abteilungen'!A10,Crewmanifest!H:H,"",Crewmanifest!B:B,"CMD")</f>
        <v>0</v>
      </c>
      <c r="E10" s="7">
        <f t="shared" ref="E10" si="18">D10/D$3</f>
        <v>0</v>
      </c>
      <c r="F10" s="2">
        <f>COUNTIFS(Crewmanifest!F:F,'Speziesanteile nach Abteilungen'!A10,Crewmanifest!H:H,"",Crewmanifest!B:B,"CON")+COUNTIFS(Crewmanifest!G:G,'Speziesanteile nach Abteilungen'!A10,Crewmanifest!H:H,"",Crewmanifest!B:B,"CON")</f>
        <v>0</v>
      </c>
      <c r="G10" s="7">
        <f t="shared" ref="G10" si="19">F10/F$3</f>
        <v>0</v>
      </c>
      <c r="H10" s="2">
        <f>COUNTIFS(Crewmanifest!F:F,'Speziesanteile nach Abteilungen'!A10,Crewmanifest!H:H,"",Crewmanifest!B:B,"OPS")+COUNTIFS(Crewmanifest!G:G,'Speziesanteile nach Abteilungen'!A10,Crewmanifest!H:H,"",Crewmanifest!B:B,"OPS")</f>
        <v>1</v>
      </c>
      <c r="I10" s="7">
        <f t="shared" ref="I10" si="20">H10/H$3</f>
        <v>0.1111111111111111</v>
      </c>
      <c r="J10" s="2">
        <f>COUNTIFS(Crewmanifest!F:F,'Speziesanteile nach Abteilungen'!A10,Crewmanifest!H:H,"",Crewmanifest!B:B,"SEC")+COUNTIFS(Crewmanifest!G:G,'Speziesanteile nach Abteilungen'!A10,Crewmanifest!H:H,"",Crewmanifest!B:B,"SEC")</f>
        <v>0</v>
      </c>
      <c r="K10" s="7">
        <f t="shared" ref="K10" si="21">J10/J$3</f>
        <v>0</v>
      </c>
      <c r="L10" s="2">
        <f>COUNTIFS(Crewmanifest!F:F,'Speziesanteile nach Abteilungen'!A10,Crewmanifest!H:H,"",Crewmanifest!B:B,"ENG")+COUNTIFS(Crewmanifest!G:G,'Speziesanteile nach Abteilungen'!A10,Crewmanifest!H:H,"",Crewmanifest!B:B,"ENG")</f>
        <v>0</v>
      </c>
      <c r="M10" s="7">
        <f t="shared" ref="M10" si="22">L10/L$3</f>
        <v>0</v>
      </c>
      <c r="N10" s="2">
        <f>COUNTIFS(Crewmanifest!F:F,'Speziesanteile nach Abteilungen'!A10,Crewmanifest!H:H,"",Crewmanifest!B:B,"MED")+COUNTIFS(Crewmanifest!G:G,'Speziesanteile nach Abteilungen'!A10,Crewmanifest!H:H,"",Crewmanifest!B:B,"MED")</f>
        <v>0</v>
      </c>
      <c r="O10" s="7">
        <f t="shared" ref="O10" si="23">N10/N$3</f>
        <v>0</v>
      </c>
      <c r="P10" s="2">
        <f>COUNTIFS(Crewmanifest!F:F,'Speziesanteile nach Abteilungen'!A10,Crewmanifest!H:H,"",Crewmanifest!B:B,"SCI")+COUNTIFS(Crewmanifest!G:G,'Speziesanteile nach Abteilungen'!A10,Crewmanifest!H:H,"",Crewmanifest!B:B,"SCI")</f>
        <v>0</v>
      </c>
      <c r="Q10" s="7">
        <f t="shared" ref="Q10" si="24">P10/P$3</f>
        <v>0</v>
      </c>
      <c r="R10" s="2">
        <f>COUNTIFS(Crewmanifest!F:F,'Speziesanteile nach Abteilungen'!A10,Crewmanifest!H:H,"",Crewmanifest!B:B,"COU")+COUNTIFS(Crewmanifest!G:G,'Speziesanteile nach Abteilungen'!A10,Crewmanifest!H:H,"",Crewmanifest!B:B,"COU")</f>
        <v>0</v>
      </c>
      <c r="S10" s="7">
        <f t="shared" ref="S10" si="25">R10/R$3</f>
        <v>0</v>
      </c>
      <c r="T10" s="2">
        <f>COUNTIFS(Crewmanifest!F:F,'Speziesanteile nach Abteilungen'!A10,Crewmanifest!H:H,"",Crewmanifest!B:B,"Zivilist")+COUNTIFS(Crewmanifest!G:G,'Speziesanteile nach Abteilungen'!A10,Crewmanifest!H:H,"",Crewmanifest!B:B,"Zivilist")</f>
        <v>0</v>
      </c>
      <c r="U10" s="7">
        <f t="shared" ref="U10" si="26">T10/T$3</f>
        <v>0</v>
      </c>
    </row>
    <row r="11" spans="1:21">
      <c r="A11" s="2" t="s">
        <v>4</v>
      </c>
      <c r="B11" s="2">
        <f>COUNTIFS(Crewmanifest!F:F,'Speziesanteile nach Abteilungen'!A11,Crewmanifest!H:H,"")+COUNTIFS(Crewmanifest!G:G,'Speziesanteile nach Abteilungen'!A11,Crewmanifest!H:H,"")</f>
        <v>3</v>
      </c>
      <c r="C11" s="7">
        <f t="shared" si="0"/>
        <v>3.0927835051546393E-2</v>
      </c>
      <c r="D11" s="2">
        <f>COUNTIFS(Crewmanifest!F:F,'Speziesanteile nach Abteilungen'!A11,Crewmanifest!H:H,"",Crewmanifest!B:B,"CMD")+COUNTIFS(Crewmanifest!G:G,'Speziesanteile nach Abteilungen'!A11,Crewmanifest!H:H,"",Crewmanifest!B:B,"CMD")</f>
        <v>1</v>
      </c>
      <c r="E11" s="7">
        <f t="shared" si="1"/>
        <v>0.33333333333333331</v>
      </c>
      <c r="F11" s="2">
        <f>COUNTIFS(Crewmanifest!F:F,'Speziesanteile nach Abteilungen'!A11,Crewmanifest!H:H,"",Crewmanifest!B:B,"CON")+COUNTIFS(Crewmanifest!G:G,'Speziesanteile nach Abteilungen'!A11,Crewmanifest!H:H,"",Crewmanifest!B:B,"CON")</f>
        <v>0</v>
      </c>
      <c r="G11" s="7">
        <f t="shared" si="2"/>
        <v>0</v>
      </c>
      <c r="H11" s="2">
        <f>COUNTIFS(Crewmanifest!F:F,'Speziesanteile nach Abteilungen'!A11,Crewmanifest!H:H,"",Crewmanifest!B:B,"OPS")+COUNTIFS(Crewmanifest!G:G,'Speziesanteile nach Abteilungen'!A11,Crewmanifest!H:H,"",Crewmanifest!B:B,"OPS")</f>
        <v>0</v>
      </c>
      <c r="I11" s="7">
        <f t="shared" si="3"/>
        <v>0</v>
      </c>
      <c r="J11" s="2">
        <f>COUNTIFS(Crewmanifest!F:F,'Speziesanteile nach Abteilungen'!A11,Crewmanifest!H:H,"",Crewmanifest!B:B,"SEC")+COUNTIFS(Crewmanifest!G:G,'Speziesanteile nach Abteilungen'!A11,Crewmanifest!H:H,"",Crewmanifest!B:B,"SEC")</f>
        <v>0</v>
      </c>
      <c r="K11" s="7">
        <f t="shared" si="4"/>
        <v>0</v>
      </c>
      <c r="L11" s="2">
        <f>COUNTIFS(Crewmanifest!F:F,'Speziesanteile nach Abteilungen'!A11,Crewmanifest!H:H,"",Crewmanifest!B:B,"ENG")+COUNTIFS(Crewmanifest!G:G,'Speziesanteile nach Abteilungen'!A11,Crewmanifest!H:H,"",Crewmanifest!B:B,"ENG")</f>
        <v>0</v>
      </c>
      <c r="M11" s="7">
        <f t="shared" si="5"/>
        <v>0</v>
      </c>
      <c r="N11" s="2">
        <f>COUNTIFS(Crewmanifest!F:F,'Speziesanteile nach Abteilungen'!A11,Crewmanifest!H:H,"",Crewmanifest!B:B,"MED")+COUNTIFS(Crewmanifest!G:G,'Speziesanteile nach Abteilungen'!A11,Crewmanifest!H:H,"",Crewmanifest!B:B,"MED")</f>
        <v>1</v>
      </c>
      <c r="O11" s="7">
        <f t="shared" si="6"/>
        <v>7.6923076923076927E-2</v>
      </c>
      <c r="P11" s="2">
        <f>COUNTIFS(Crewmanifest!F:F,'Speziesanteile nach Abteilungen'!A11,Crewmanifest!H:H,"",Crewmanifest!B:B,"SCI")+COUNTIFS(Crewmanifest!G:G,'Speziesanteile nach Abteilungen'!A11,Crewmanifest!H:H,"",Crewmanifest!B:B,"SCI")</f>
        <v>1</v>
      </c>
      <c r="Q11" s="7">
        <f t="shared" si="7"/>
        <v>6.25E-2</v>
      </c>
      <c r="R11" s="2">
        <f>COUNTIFS(Crewmanifest!F:F,'Speziesanteile nach Abteilungen'!A11,Crewmanifest!H:H,"",Crewmanifest!B:B,"COU")+COUNTIFS(Crewmanifest!G:G,'Speziesanteile nach Abteilungen'!A11,Crewmanifest!H:H,"",Crewmanifest!B:B,"COU")</f>
        <v>0</v>
      </c>
      <c r="S11" s="7">
        <f t="shared" si="7"/>
        <v>0</v>
      </c>
      <c r="T11" s="2">
        <f>COUNTIFS(Crewmanifest!F:F,'Speziesanteile nach Abteilungen'!A11,Crewmanifest!H:H,"",Crewmanifest!B:B,"Zivilist")+COUNTIFS(Crewmanifest!G:G,'Speziesanteile nach Abteilungen'!A11,Crewmanifest!H:H,"",Crewmanifest!B:B,"Zivilist")</f>
        <v>0</v>
      </c>
      <c r="U11" s="7">
        <f t="shared" si="8"/>
        <v>0</v>
      </c>
    </row>
    <row r="12" spans="1:21">
      <c r="A12" s="2" t="s">
        <v>21</v>
      </c>
      <c r="B12" s="2">
        <f>COUNTIFS(Crewmanifest!F:F,'Speziesanteile nach Abteilungen'!A12,Crewmanifest!H:H,"")+COUNTIFS(Crewmanifest!G:G,'Speziesanteile nach Abteilungen'!A12,Crewmanifest!H:H,"")</f>
        <v>2</v>
      </c>
      <c r="C12" s="7">
        <f t="shared" si="0"/>
        <v>2.0618556701030927E-2</v>
      </c>
      <c r="D12" s="2">
        <f>COUNTIFS(Crewmanifest!F:F,'Speziesanteile nach Abteilungen'!A12,Crewmanifest!H:H,"",Crewmanifest!B:B,"CMD")+COUNTIFS(Crewmanifest!G:G,'Speziesanteile nach Abteilungen'!A12,Crewmanifest!H:H,"",Crewmanifest!B:B,"CMD")</f>
        <v>0</v>
      </c>
      <c r="E12" s="7">
        <f t="shared" si="1"/>
        <v>0</v>
      </c>
      <c r="F12" s="2">
        <f>COUNTIFS(Crewmanifest!F:F,'Speziesanteile nach Abteilungen'!A12,Crewmanifest!H:H,"",Crewmanifest!B:B,"CON")+COUNTIFS(Crewmanifest!G:G,'Speziesanteile nach Abteilungen'!A12,Crewmanifest!H:H,"",Crewmanifest!B:B,"CON")</f>
        <v>1</v>
      </c>
      <c r="G12" s="7">
        <f t="shared" si="2"/>
        <v>0.2</v>
      </c>
      <c r="H12" s="2">
        <f>COUNTIFS(Crewmanifest!F:F,'Speziesanteile nach Abteilungen'!A12,Crewmanifest!H:H,"",Crewmanifest!B:B,"OPS")+COUNTIFS(Crewmanifest!G:G,'Speziesanteile nach Abteilungen'!A12,Crewmanifest!H:H,"",Crewmanifest!B:B,"OPS")</f>
        <v>0</v>
      </c>
      <c r="I12" s="7">
        <f t="shared" si="3"/>
        <v>0</v>
      </c>
      <c r="J12" s="2">
        <f>COUNTIFS(Crewmanifest!F:F,'Speziesanteile nach Abteilungen'!A12,Crewmanifest!H:H,"",Crewmanifest!B:B,"SEC")+COUNTIFS(Crewmanifest!G:G,'Speziesanteile nach Abteilungen'!A12,Crewmanifest!H:H,"",Crewmanifest!B:B,"SEC")</f>
        <v>1</v>
      </c>
      <c r="K12" s="7">
        <f t="shared" si="4"/>
        <v>4.1666666666666664E-2</v>
      </c>
      <c r="L12" s="2">
        <f>COUNTIFS(Crewmanifest!F:F,'Speziesanteile nach Abteilungen'!A12,Crewmanifest!H:H,"",Crewmanifest!B:B,"ENG")+COUNTIFS(Crewmanifest!G:G,'Speziesanteile nach Abteilungen'!A12,Crewmanifest!H:H,"",Crewmanifest!B:B,"ENG")</f>
        <v>0</v>
      </c>
      <c r="M12" s="7">
        <f t="shared" si="5"/>
        <v>0</v>
      </c>
      <c r="N12" s="2">
        <f>COUNTIFS(Crewmanifest!F:F,'Speziesanteile nach Abteilungen'!A12,Crewmanifest!H:H,"",Crewmanifest!B:B,"MED")+COUNTIFS(Crewmanifest!G:G,'Speziesanteile nach Abteilungen'!A12,Crewmanifest!H:H,"",Crewmanifest!B:B,"MED")</f>
        <v>0</v>
      </c>
      <c r="O12" s="7">
        <f t="shared" si="6"/>
        <v>0</v>
      </c>
      <c r="P12" s="2">
        <f>COUNTIFS(Crewmanifest!F:F,'Speziesanteile nach Abteilungen'!A12,Crewmanifest!H:H,"",Crewmanifest!B:B,"SCI")+COUNTIFS(Crewmanifest!G:G,'Speziesanteile nach Abteilungen'!A12,Crewmanifest!H:H,"",Crewmanifest!B:B,"SCI")</f>
        <v>0</v>
      </c>
      <c r="Q12" s="7">
        <f t="shared" si="7"/>
        <v>0</v>
      </c>
      <c r="R12" s="2">
        <f>COUNTIFS(Crewmanifest!F:F,'Speziesanteile nach Abteilungen'!A12,Crewmanifest!H:H,"",Crewmanifest!B:B,"COU")+COUNTIFS(Crewmanifest!G:G,'Speziesanteile nach Abteilungen'!A12,Crewmanifest!H:H,"",Crewmanifest!B:B,"COU")</f>
        <v>0</v>
      </c>
      <c r="S12" s="7">
        <f t="shared" si="7"/>
        <v>0</v>
      </c>
      <c r="T12" s="2">
        <f>COUNTIFS(Crewmanifest!F:F,'Speziesanteile nach Abteilungen'!A12,Crewmanifest!H:H,"",Crewmanifest!B:B,"Zivilist")+COUNTIFS(Crewmanifest!G:G,'Speziesanteile nach Abteilungen'!A12,Crewmanifest!H:H,"",Crewmanifest!B:B,"Zivilist")</f>
        <v>0</v>
      </c>
      <c r="U12" s="7">
        <f t="shared" si="8"/>
        <v>0</v>
      </c>
    </row>
    <row r="13" spans="1:21">
      <c r="A13" s="2" t="s">
        <v>176</v>
      </c>
      <c r="B13" s="2">
        <f>COUNTIFS(Crewmanifest!F:F,'Speziesanteile nach Abteilungen'!A13,Crewmanifest!H:H,"")+COUNTIFS(Crewmanifest!G:G,'Speziesanteile nach Abteilungen'!A13,Crewmanifest!H:H,"")</f>
        <v>1</v>
      </c>
      <c r="C13" s="7">
        <f t="shared" si="0"/>
        <v>1.0309278350515464E-2</v>
      </c>
      <c r="D13" s="2">
        <f>COUNTIFS(Crewmanifest!F:F,'Speziesanteile nach Abteilungen'!A13,Crewmanifest!H:H,"",Crewmanifest!B:B,"CMD")+COUNTIFS(Crewmanifest!G:G,'Speziesanteile nach Abteilungen'!A13,Crewmanifest!H:H,"",Crewmanifest!B:B,"CMD")</f>
        <v>0</v>
      </c>
      <c r="E13" s="7">
        <f t="shared" ref="E13" si="27">D13/D$3</f>
        <v>0</v>
      </c>
      <c r="F13" s="2">
        <f>COUNTIFS(Crewmanifest!F:F,'Speziesanteile nach Abteilungen'!A13,Crewmanifest!H:H,"",Crewmanifest!B:B,"CON")+COUNTIFS(Crewmanifest!G:G,'Speziesanteile nach Abteilungen'!A13,Crewmanifest!H:H,"",Crewmanifest!B:B,"CON")</f>
        <v>0</v>
      </c>
      <c r="G13" s="7">
        <f t="shared" ref="G13" si="28">F13/F$3</f>
        <v>0</v>
      </c>
      <c r="H13" s="2">
        <f>COUNTIFS(Crewmanifest!F:F,'Speziesanteile nach Abteilungen'!A13,Crewmanifest!H:H,"",Crewmanifest!B:B,"OPS")+COUNTIFS(Crewmanifest!G:G,'Speziesanteile nach Abteilungen'!A13,Crewmanifest!H:H,"",Crewmanifest!B:B,"OPS")</f>
        <v>0</v>
      </c>
      <c r="I13" s="7">
        <f t="shared" ref="I13" si="29">H13/H$3</f>
        <v>0</v>
      </c>
      <c r="J13" s="2">
        <f>COUNTIFS(Crewmanifest!F:F,'Speziesanteile nach Abteilungen'!A13,Crewmanifest!H:H,"",Crewmanifest!B:B,"SEC")+COUNTIFS(Crewmanifest!G:G,'Speziesanteile nach Abteilungen'!A13,Crewmanifest!H:H,"",Crewmanifest!B:B,"SEC")</f>
        <v>0</v>
      </c>
      <c r="K13" s="7">
        <f t="shared" ref="K13" si="30">J13/J$3</f>
        <v>0</v>
      </c>
      <c r="L13" s="2">
        <f>COUNTIFS(Crewmanifest!F:F,'Speziesanteile nach Abteilungen'!A13,Crewmanifest!H:H,"",Crewmanifest!B:B,"ENG")+COUNTIFS(Crewmanifest!G:G,'Speziesanteile nach Abteilungen'!A13,Crewmanifest!H:H,"",Crewmanifest!B:B,"ENG")</f>
        <v>0</v>
      </c>
      <c r="M13" s="7">
        <f t="shared" ref="M13" si="31">L13/L$3</f>
        <v>0</v>
      </c>
      <c r="N13" s="2">
        <f>COUNTIFS(Crewmanifest!F:F,'Speziesanteile nach Abteilungen'!A13,Crewmanifest!H:H,"",Crewmanifest!B:B,"MED")+COUNTIFS(Crewmanifest!G:G,'Speziesanteile nach Abteilungen'!A13,Crewmanifest!H:H,"",Crewmanifest!B:B,"MED")</f>
        <v>0</v>
      </c>
      <c r="O13" s="7">
        <f t="shared" ref="O13" si="32">N13/N$3</f>
        <v>0</v>
      </c>
      <c r="P13" s="2">
        <f>COUNTIFS(Crewmanifest!F:F,'Speziesanteile nach Abteilungen'!A13,Crewmanifest!H:H,"",Crewmanifest!B:B,"SCI")+COUNTIFS(Crewmanifest!G:G,'Speziesanteile nach Abteilungen'!A13,Crewmanifest!H:H,"",Crewmanifest!B:B,"SCI")</f>
        <v>0</v>
      </c>
      <c r="Q13" s="7">
        <f t="shared" ref="Q13" si="33">P13/P$3</f>
        <v>0</v>
      </c>
      <c r="R13" s="2">
        <f>COUNTIFS(Crewmanifest!F:F,'Speziesanteile nach Abteilungen'!A13,Crewmanifest!H:H,"",Crewmanifest!B:B,"COU")+COUNTIFS(Crewmanifest!G:G,'Speziesanteile nach Abteilungen'!A13,Crewmanifest!H:H,"",Crewmanifest!B:B,"COU")</f>
        <v>1</v>
      </c>
      <c r="S13" s="7">
        <f t="shared" ref="S13" si="34">R13/R$3</f>
        <v>0.14285714285714285</v>
      </c>
      <c r="T13" s="2">
        <f>COUNTIFS(Crewmanifest!F:F,'Speziesanteile nach Abteilungen'!A13,Crewmanifest!H:H,"",Crewmanifest!B:B,"Zivilist")+COUNTIFS(Crewmanifest!G:G,'Speziesanteile nach Abteilungen'!A13,Crewmanifest!H:H,"",Crewmanifest!B:B,"Zivilist")</f>
        <v>0</v>
      </c>
      <c r="U13" s="7">
        <f t="shared" ref="U13" si="35">T13/T$3</f>
        <v>0</v>
      </c>
    </row>
    <row r="14" spans="1:21">
      <c r="A14" s="2" t="s">
        <v>55</v>
      </c>
      <c r="B14" s="2">
        <f>COUNTIFS(Crewmanifest!F:F,'Speziesanteile nach Abteilungen'!A14,Crewmanifest!H:H,"")+COUNTIFS(Crewmanifest!G:G,'Speziesanteile nach Abteilungen'!A14,Crewmanifest!H:H,"")</f>
        <v>6</v>
      </c>
      <c r="C14" s="7">
        <f t="shared" si="0"/>
        <v>6.1855670103092786E-2</v>
      </c>
      <c r="D14" s="2">
        <f>COUNTIFS(Crewmanifest!F:F,'Speziesanteile nach Abteilungen'!A14,Crewmanifest!H:H,"",Crewmanifest!B:B,"CMD")+COUNTIFS(Crewmanifest!G:G,'Speziesanteile nach Abteilungen'!A14,Crewmanifest!H:H,"",Crewmanifest!B:B,"CMD")</f>
        <v>0</v>
      </c>
      <c r="E14" s="7">
        <f t="shared" si="1"/>
        <v>0</v>
      </c>
      <c r="F14" s="2">
        <f>COUNTIFS(Crewmanifest!F:F,'Speziesanteile nach Abteilungen'!A14,Crewmanifest!H:H,"",Crewmanifest!B:B,"CON")+COUNTIFS(Crewmanifest!G:G,'Speziesanteile nach Abteilungen'!A14,Crewmanifest!H:H,"",Crewmanifest!B:B,"CON")</f>
        <v>0</v>
      </c>
      <c r="G14" s="7">
        <f t="shared" si="2"/>
        <v>0</v>
      </c>
      <c r="H14" s="2">
        <f>COUNTIFS(Crewmanifest!F:F,'Speziesanteile nach Abteilungen'!A14,Crewmanifest!H:H,"",Crewmanifest!B:B,"OPS")+COUNTIFS(Crewmanifest!G:G,'Speziesanteile nach Abteilungen'!A14,Crewmanifest!H:H,"",Crewmanifest!B:B,"OPS")</f>
        <v>2</v>
      </c>
      <c r="I14" s="7">
        <f t="shared" si="3"/>
        <v>0.22222222222222221</v>
      </c>
      <c r="J14" s="2">
        <f>COUNTIFS(Crewmanifest!F:F,'Speziesanteile nach Abteilungen'!A14,Crewmanifest!H:H,"",Crewmanifest!B:B,"SEC")+COUNTIFS(Crewmanifest!G:G,'Speziesanteile nach Abteilungen'!A14,Crewmanifest!H:H,"",Crewmanifest!B:B,"SEC")</f>
        <v>0</v>
      </c>
      <c r="K14" s="7">
        <f t="shared" si="4"/>
        <v>0</v>
      </c>
      <c r="L14" s="2">
        <f>COUNTIFS(Crewmanifest!F:F,'Speziesanteile nach Abteilungen'!A14,Crewmanifest!H:H,"",Crewmanifest!B:B,"ENG")+COUNTIFS(Crewmanifest!G:G,'Speziesanteile nach Abteilungen'!A14,Crewmanifest!H:H,"",Crewmanifest!B:B,"ENG")</f>
        <v>1</v>
      </c>
      <c r="M14" s="7">
        <f t="shared" si="5"/>
        <v>5.5555555555555552E-2</v>
      </c>
      <c r="N14" s="2">
        <f>COUNTIFS(Crewmanifest!F:F,'Speziesanteile nach Abteilungen'!A14,Crewmanifest!H:H,"",Crewmanifest!B:B,"MED")+COUNTIFS(Crewmanifest!G:G,'Speziesanteile nach Abteilungen'!A14,Crewmanifest!H:H,"",Crewmanifest!B:B,"MED")</f>
        <v>2</v>
      </c>
      <c r="O14" s="7">
        <f t="shared" si="6"/>
        <v>0.15384615384615385</v>
      </c>
      <c r="P14" s="2">
        <f>COUNTIFS(Crewmanifest!F:F,'Speziesanteile nach Abteilungen'!A14,Crewmanifest!H:H,"",Crewmanifest!B:B,"SCI")+COUNTIFS(Crewmanifest!G:G,'Speziesanteile nach Abteilungen'!A14,Crewmanifest!H:H,"",Crewmanifest!B:B,"SCI")</f>
        <v>1</v>
      </c>
      <c r="Q14" s="7">
        <f t="shared" si="7"/>
        <v>6.25E-2</v>
      </c>
      <c r="R14" s="2">
        <f>COUNTIFS(Crewmanifest!F:F,'Speziesanteile nach Abteilungen'!A14,Crewmanifest!H:H,"",Crewmanifest!B:B,"COU")+COUNTIFS(Crewmanifest!G:G,'Speziesanteile nach Abteilungen'!A14,Crewmanifest!H:H,"",Crewmanifest!B:B,"COU")</f>
        <v>0</v>
      </c>
      <c r="S14" s="7">
        <f t="shared" si="7"/>
        <v>0</v>
      </c>
      <c r="T14" s="2">
        <f>COUNTIFS(Crewmanifest!F:F,'Speziesanteile nach Abteilungen'!A14,Crewmanifest!H:H,"",Crewmanifest!B:B,"Zivilist")+COUNTIFS(Crewmanifest!G:G,'Speziesanteile nach Abteilungen'!A14,Crewmanifest!H:H,"",Crewmanifest!B:B,"Zivilist")</f>
        <v>0</v>
      </c>
      <c r="U14" s="7">
        <f t="shared" si="8"/>
        <v>0</v>
      </c>
    </row>
    <row r="15" spans="1:21">
      <c r="A15" s="2" t="s">
        <v>74</v>
      </c>
      <c r="B15" s="2">
        <f>COUNTIFS(Crewmanifest!F:F,'Speziesanteile nach Abteilungen'!A15,Crewmanifest!H:H,"")+COUNTIFS(Crewmanifest!G:G,'Speziesanteile nach Abteilungen'!A15,Crewmanifest!H:H,"")</f>
        <v>14</v>
      </c>
      <c r="C15" s="7">
        <f t="shared" si="0"/>
        <v>0.14432989690721648</v>
      </c>
      <c r="D15" s="2">
        <f>COUNTIFS(Crewmanifest!F:F,'Speziesanteile nach Abteilungen'!A15,Crewmanifest!H:H,"",Crewmanifest!B:B,"CMD")+COUNTIFS(Crewmanifest!G:G,'Speziesanteile nach Abteilungen'!A15,Crewmanifest!H:H,"",Crewmanifest!B:B,"CMD")</f>
        <v>0</v>
      </c>
      <c r="E15" s="7">
        <f t="shared" si="1"/>
        <v>0</v>
      </c>
      <c r="F15" s="2">
        <f>COUNTIFS(Crewmanifest!F:F,'Speziesanteile nach Abteilungen'!A15,Crewmanifest!H:H,"",Crewmanifest!B:B,"CON")+COUNTIFS(Crewmanifest!G:G,'Speziesanteile nach Abteilungen'!A15,Crewmanifest!H:H,"",Crewmanifest!B:B,"CON")</f>
        <v>0</v>
      </c>
      <c r="G15" s="7">
        <f t="shared" si="2"/>
        <v>0</v>
      </c>
      <c r="H15" s="2">
        <f>COUNTIFS(Crewmanifest!F:F,'Speziesanteile nach Abteilungen'!A15,Crewmanifest!H:H,"",Crewmanifest!B:B,"OPS")+COUNTIFS(Crewmanifest!G:G,'Speziesanteile nach Abteilungen'!A15,Crewmanifest!H:H,"",Crewmanifest!B:B,"OPS")</f>
        <v>0</v>
      </c>
      <c r="I15" s="7">
        <f t="shared" si="3"/>
        <v>0</v>
      </c>
      <c r="J15" s="2">
        <f>COUNTIFS(Crewmanifest!F:F,'Speziesanteile nach Abteilungen'!A15,Crewmanifest!H:H,"",Crewmanifest!B:B,"SEC")+COUNTIFS(Crewmanifest!G:G,'Speziesanteile nach Abteilungen'!A15,Crewmanifest!H:H,"",Crewmanifest!B:B,"SEC")</f>
        <v>6</v>
      </c>
      <c r="K15" s="7">
        <f t="shared" si="4"/>
        <v>0.25</v>
      </c>
      <c r="L15" s="2">
        <f>COUNTIFS(Crewmanifest!F:F,'Speziesanteile nach Abteilungen'!A15,Crewmanifest!H:H,"",Crewmanifest!B:B,"ENG")+COUNTIFS(Crewmanifest!G:G,'Speziesanteile nach Abteilungen'!A15,Crewmanifest!H:H,"",Crewmanifest!B:B,"ENG")</f>
        <v>4</v>
      </c>
      <c r="M15" s="7">
        <f t="shared" si="5"/>
        <v>0.22222222222222221</v>
      </c>
      <c r="N15" s="2">
        <f>COUNTIFS(Crewmanifest!F:F,'Speziesanteile nach Abteilungen'!A15,Crewmanifest!H:H,"",Crewmanifest!B:B,"MED")+COUNTIFS(Crewmanifest!G:G,'Speziesanteile nach Abteilungen'!A15,Crewmanifest!H:H,"",Crewmanifest!B:B,"MED")</f>
        <v>2</v>
      </c>
      <c r="O15" s="7">
        <f t="shared" si="6"/>
        <v>0.15384615384615385</v>
      </c>
      <c r="P15" s="2">
        <f>COUNTIFS(Crewmanifest!F:F,'Speziesanteile nach Abteilungen'!A15,Crewmanifest!H:H,"",Crewmanifest!B:B,"SCI")+COUNTIFS(Crewmanifest!G:G,'Speziesanteile nach Abteilungen'!A15,Crewmanifest!H:H,"",Crewmanifest!B:B,"SCI")</f>
        <v>1</v>
      </c>
      <c r="Q15" s="7">
        <f t="shared" si="7"/>
        <v>6.25E-2</v>
      </c>
      <c r="R15" s="2">
        <f>COUNTIFS(Crewmanifest!F:F,'Speziesanteile nach Abteilungen'!A15,Crewmanifest!H:H,"",Crewmanifest!B:B,"COU")+COUNTIFS(Crewmanifest!G:G,'Speziesanteile nach Abteilungen'!A15,Crewmanifest!H:H,"",Crewmanifest!B:B,"COU")</f>
        <v>1</v>
      </c>
      <c r="S15" s="7">
        <f t="shared" si="7"/>
        <v>0.14285714285714285</v>
      </c>
      <c r="T15" s="2">
        <f>COUNTIFS(Crewmanifest!F:F,'Speziesanteile nach Abteilungen'!A15,Crewmanifest!H:H,"",Crewmanifest!B:B,"Zivilist")+COUNTIFS(Crewmanifest!G:G,'Speziesanteile nach Abteilungen'!A15,Crewmanifest!H:H,"",Crewmanifest!B:B,"Zivilist")</f>
        <v>0</v>
      </c>
      <c r="U15" s="7">
        <f t="shared" si="8"/>
        <v>0</v>
      </c>
    </row>
    <row r="16" spans="1:21">
      <c r="A16" s="2" t="s">
        <v>5</v>
      </c>
      <c r="B16" s="2">
        <f>COUNTIF(Crewmanifest!H:H,"Ja")</f>
        <v>12</v>
      </c>
      <c r="C16" s="7">
        <f t="shared" si="0"/>
        <v>0.12371134020618557</v>
      </c>
      <c r="D16" s="2">
        <f>COUNTIFS(Crewmanifest!H:H,"Ja",Crewmanifest!B:B,"CMD")</f>
        <v>0</v>
      </c>
      <c r="E16" s="7">
        <f t="shared" si="1"/>
        <v>0</v>
      </c>
      <c r="F16" s="2">
        <f>COUNTIFS(Crewmanifest!H:H,"Ja",Crewmanifest!B:B,"CON")</f>
        <v>0</v>
      </c>
      <c r="G16" s="7">
        <f t="shared" si="2"/>
        <v>0</v>
      </c>
      <c r="H16" s="2">
        <f>COUNTIFS(Crewmanifest!H:H,"Ja",Crewmanifest!B:B,"OPS")</f>
        <v>2</v>
      </c>
      <c r="I16" s="7">
        <f t="shared" si="3"/>
        <v>0.22222222222222221</v>
      </c>
      <c r="J16" s="2">
        <f>COUNTIFS(Crewmanifest!H:H,"Ja",Crewmanifest!B:B,"SEC")</f>
        <v>1</v>
      </c>
      <c r="K16" s="7">
        <f t="shared" si="4"/>
        <v>4.1666666666666664E-2</v>
      </c>
      <c r="L16" s="2">
        <f>COUNTIFS(Crewmanifest!H:H,"Ja",Crewmanifest!B:B,"ENG")</f>
        <v>3</v>
      </c>
      <c r="M16" s="7">
        <f t="shared" si="5"/>
        <v>0.16666666666666666</v>
      </c>
      <c r="N16" s="2">
        <f>COUNTIFS(Crewmanifest!H:H,"Ja",Crewmanifest!B:B,"MED")</f>
        <v>0</v>
      </c>
      <c r="O16" s="7">
        <f t="shared" si="6"/>
        <v>0</v>
      </c>
      <c r="P16" s="2">
        <f>COUNTIFS(Crewmanifest!H:H,"Ja",Crewmanifest!B:B,"SCI")</f>
        <v>2</v>
      </c>
      <c r="Q16" s="7">
        <f t="shared" si="7"/>
        <v>0.125</v>
      </c>
      <c r="R16" s="2">
        <f>COUNTIFS(Crewmanifest!H:H,"Ja",Crewmanifest!B:B,"COU")</f>
        <v>3</v>
      </c>
      <c r="S16" s="7">
        <f t="shared" si="7"/>
        <v>0.42857142857142855</v>
      </c>
      <c r="T16" s="2">
        <f>COUNTIFS(Crewmanifest!H:H,"Ja",Crewmanifest!B:B,"Zivilist")</f>
        <v>1</v>
      </c>
      <c r="U16" s="7">
        <f t="shared" si="8"/>
        <v>0.5</v>
      </c>
    </row>
    <row r="17" spans="1:21">
      <c r="C17" s="8"/>
      <c r="E17" s="9"/>
      <c r="G17" s="9"/>
      <c r="I17" s="9"/>
      <c r="K17" s="9"/>
      <c r="M17" s="9"/>
      <c r="O17" s="9"/>
      <c r="Q17" s="9"/>
      <c r="S17" s="9"/>
      <c r="U17" s="9"/>
    </row>
    <row r="18" spans="1:21">
      <c r="A18" s="2" t="s">
        <v>131</v>
      </c>
      <c r="B18" s="2">
        <v>504</v>
      </c>
      <c r="C18" s="8">
        <f>B3/B18</f>
        <v>0.19246031746031747</v>
      </c>
      <c r="D18" s="2">
        <v>8</v>
      </c>
      <c r="E18" s="8">
        <f>D3/D18</f>
        <v>0.375</v>
      </c>
      <c r="F18" s="2">
        <v>33</v>
      </c>
      <c r="G18" s="8">
        <f>F3/F18</f>
        <v>0.15151515151515152</v>
      </c>
      <c r="H18" s="2">
        <v>32</v>
      </c>
      <c r="I18" s="8">
        <f>H3/H18</f>
        <v>0.28125</v>
      </c>
      <c r="J18" s="2">
        <v>66</v>
      </c>
      <c r="K18" s="8">
        <f>J3/J18</f>
        <v>0.36363636363636365</v>
      </c>
      <c r="L18" s="2">
        <v>192</v>
      </c>
      <c r="M18" s="8">
        <f>L3/L18</f>
        <v>9.375E-2</v>
      </c>
      <c r="N18" s="2">
        <v>98</v>
      </c>
      <c r="O18" s="8">
        <f>N3/N18</f>
        <v>0.1326530612244898</v>
      </c>
      <c r="P18" s="2">
        <v>57</v>
      </c>
      <c r="Q18" s="8">
        <f>P3/P18</f>
        <v>0.2807017543859649</v>
      </c>
      <c r="R18" s="2">
        <v>18</v>
      </c>
      <c r="S18" s="8">
        <f>R3/R18</f>
        <v>0.3888888888888889</v>
      </c>
      <c r="U18" s="8"/>
    </row>
    <row r="19" spans="1:21">
      <c r="C19" s="8"/>
      <c r="E19" s="9"/>
      <c r="G19" s="9"/>
      <c r="I19" s="9"/>
      <c r="K19" s="9"/>
      <c r="M19" s="9"/>
      <c r="O19" s="9"/>
      <c r="Q19" s="9"/>
      <c r="S19" s="9"/>
      <c r="U19" s="9"/>
    </row>
    <row r="20" spans="1:21">
      <c r="C20" s="8"/>
      <c r="E20" s="9"/>
      <c r="G20" s="9"/>
      <c r="I20" s="9"/>
      <c r="K20" s="9"/>
      <c r="M20" s="9"/>
      <c r="O20" s="9"/>
      <c r="Q20" s="9"/>
      <c r="S20" s="9"/>
      <c r="U20" s="9"/>
    </row>
    <row r="21" spans="1:21">
      <c r="A21" s="2" t="s">
        <v>173</v>
      </c>
      <c r="B21" s="5" t="s">
        <v>179</v>
      </c>
      <c r="C21" s="8"/>
      <c r="E21" s="9"/>
      <c r="G21" s="9"/>
      <c r="I21" s="9"/>
      <c r="K21" s="9"/>
      <c r="M21" s="9"/>
      <c r="O21" s="9"/>
      <c r="Q21" s="9"/>
      <c r="S21" s="9"/>
      <c r="U21" s="9"/>
    </row>
    <row r="22" spans="1:21">
      <c r="C22" s="8"/>
      <c r="E22" s="9"/>
      <c r="G22" s="9"/>
      <c r="I22" s="9"/>
      <c r="K22" s="9"/>
      <c r="M22" s="9"/>
      <c r="O22" s="9"/>
      <c r="Q22" s="9"/>
      <c r="S22" s="9"/>
      <c r="U22" s="9"/>
    </row>
    <row r="23" spans="1:21">
      <c r="A23" s="2" t="s">
        <v>62</v>
      </c>
      <c r="B23" s="2">
        <f>COUNTIFS(Crewmanifest!F:F,'Speziesanteile nach Abteilungen'!A23,Crewmanifest!H:H,"Ja")+COUNTIFS(Crewmanifest!G:G,'Speziesanteile nach Abteilungen'!A23,Crewmanifest!H:H,"Ja")</f>
        <v>1</v>
      </c>
      <c r="C23" s="7">
        <f>B23/B$3</f>
        <v>1.0309278350515464E-2</v>
      </c>
      <c r="D23" s="2">
        <f>COUNTIFS(Crewmanifest!F:F,'Speziesanteile nach Abteilungen'!A23,Crewmanifest!H:H,"Ja",Crewmanifest!B:B,"CMD")+COUNTIFS(Crewmanifest!G:G,'Speziesanteile nach Abteilungen'!A23,Crewmanifest!H:H,"Ja",Crewmanifest!B:B,"CMD")</f>
        <v>0</v>
      </c>
      <c r="E23" s="7">
        <f>D23/D$3</f>
        <v>0</v>
      </c>
      <c r="F23" s="2">
        <f>COUNTIFS(Crewmanifest!F:F,'Speziesanteile nach Abteilungen'!A23,Crewmanifest!H:H,"Ja",Crewmanifest!B:B,"CON")+COUNTIFS(Crewmanifest!G:G,'Speziesanteile nach Abteilungen'!A23,Crewmanifest!H:H,"Ja",Crewmanifest!B:B,"CON")</f>
        <v>0</v>
      </c>
      <c r="G23" s="7">
        <f>F23/F$3</f>
        <v>0</v>
      </c>
      <c r="H23" s="2">
        <f>COUNTIFS(Crewmanifest!F:F,'Speziesanteile nach Abteilungen'!A23,Crewmanifest!H:H,"Ja",Crewmanifest!B:B,"OPS")+COUNTIFS(Crewmanifest!G:G,'Speziesanteile nach Abteilungen'!A23,Crewmanifest!H:H,"Ja",Crewmanifest!B:B,"OPS")</f>
        <v>1</v>
      </c>
      <c r="I23" s="7">
        <f>H23/H$3</f>
        <v>0.1111111111111111</v>
      </c>
      <c r="J23" s="2">
        <f>COUNTIFS(Crewmanifest!F:F,'Speziesanteile nach Abteilungen'!A23,Crewmanifest!H:H,"Ja",Crewmanifest!B:B,"SEC")+COUNTIFS(Crewmanifest!G:G,'Speziesanteile nach Abteilungen'!A23,Crewmanifest!H:H,"Ja",Crewmanifest!B:B,"SEC")</f>
        <v>0</v>
      </c>
      <c r="K23" s="7">
        <f>J23/J$3</f>
        <v>0</v>
      </c>
      <c r="L23" s="2">
        <f>COUNTIFS(Crewmanifest!F:F,'Speziesanteile nach Abteilungen'!A23,Crewmanifest!H:H,"Ja",Crewmanifest!B:B,"ENG")+COUNTIFS(Crewmanifest!G:G,'Speziesanteile nach Abteilungen'!A23,Crewmanifest!H:H,"Ja",Crewmanifest!B:B,"ENG")</f>
        <v>0</v>
      </c>
      <c r="M23" s="7">
        <f>L23/L$3</f>
        <v>0</v>
      </c>
      <c r="N23" s="2">
        <f>COUNTIFS(Crewmanifest!F:F,'Speziesanteile nach Abteilungen'!A23,Crewmanifest!H:H,"Ja",Crewmanifest!B:B,"MED")+COUNTIFS(Crewmanifest!G:G,'Speziesanteile nach Abteilungen'!A23,Crewmanifest!H:H,"Ja",Crewmanifest!B:B,"MED")</f>
        <v>0</v>
      </c>
      <c r="O23" s="7">
        <f>N23/N$3</f>
        <v>0</v>
      </c>
      <c r="P23" s="2">
        <f>COUNTIFS(Crewmanifest!F:F,'Speziesanteile nach Abteilungen'!A23,Crewmanifest!H:H,"Ja",Crewmanifest!B:B,"SCI")+COUNTIFS(Crewmanifest!G:G,'Speziesanteile nach Abteilungen'!A23,Crewmanifest!H:H,"Ja",Crewmanifest!B:B,"SCI")</f>
        <v>0</v>
      </c>
      <c r="Q23" s="7">
        <f>P23/P$3</f>
        <v>0</v>
      </c>
      <c r="R23" s="2">
        <f>COUNTIFS(Crewmanifest!F:F,'Speziesanteile nach Abteilungen'!A23,Crewmanifest!H:H,"Ja",Crewmanifest!B:B,"COU")+COUNTIFS(Crewmanifest!G:G,'Speziesanteile nach Abteilungen'!A23,Crewmanifest!H:H,"Ja",Crewmanifest!B:B,"COU")</f>
        <v>0</v>
      </c>
      <c r="S23" s="7">
        <f>R23/R$3</f>
        <v>0</v>
      </c>
      <c r="T23" s="2">
        <f>COUNTIFS(Crewmanifest!F:F,'Speziesanteile nach Abteilungen'!A23,Crewmanifest!H:H,"Ja",Crewmanifest!B:B,"Zivilist")+COUNTIFS(Crewmanifest!G:G,'Speziesanteile nach Abteilungen'!A23,Crewmanifest!H:H,"Ja",Crewmanifest!B:B,"Zivilist")</f>
        <v>0</v>
      </c>
      <c r="U23" s="7">
        <f>T23/T$3</f>
        <v>0</v>
      </c>
    </row>
    <row r="24" spans="1:21">
      <c r="A24" s="2" t="s">
        <v>166</v>
      </c>
      <c r="B24" s="2">
        <f>COUNTIFS(Crewmanifest!F:F,'Speziesanteile nach Abteilungen'!A24,Crewmanifest!H:H,"Ja")+COUNTIFS(Crewmanifest!G:G,'Speziesanteile nach Abteilungen'!A24,Crewmanifest!H:H,"Ja")</f>
        <v>4</v>
      </c>
      <c r="C24" s="7">
        <f t="shared" ref="C24:E33" si="36">B24/B$3</f>
        <v>4.1237113402061855E-2</v>
      </c>
      <c r="D24" s="2">
        <f>COUNTIFS(Crewmanifest!F:F,'Speziesanteile nach Abteilungen'!A24,Crewmanifest!H:H,"Ja",Crewmanifest!B:B,"CMD")+COUNTIFS(Crewmanifest!G:G,'Speziesanteile nach Abteilungen'!A24,Crewmanifest!H:H,"Ja",Crewmanifest!B:B,"CMD")</f>
        <v>0</v>
      </c>
      <c r="E24" s="7">
        <f t="shared" si="36"/>
        <v>0</v>
      </c>
      <c r="F24" s="2">
        <f>COUNTIFS(Crewmanifest!F:F,'Speziesanteile nach Abteilungen'!A24,Crewmanifest!H:H,"Ja",Crewmanifest!B:B,"CON")+COUNTIFS(Crewmanifest!G:G,'Speziesanteile nach Abteilungen'!A24,Crewmanifest!H:H,"Ja",Crewmanifest!B:B,"CON")</f>
        <v>0</v>
      </c>
      <c r="G24" s="7">
        <f t="shared" ref="G24:I24" si="37">F24/F$3</f>
        <v>0</v>
      </c>
      <c r="H24" s="2">
        <f>COUNTIFS(Crewmanifest!F:F,'Speziesanteile nach Abteilungen'!A24,Crewmanifest!H:H,"Ja",Crewmanifest!B:B,"OPS")+COUNTIFS(Crewmanifest!G:G,'Speziesanteile nach Abteilungen'!A24,Crewmanifest!H:H,"Ja",Crewmanifest!B:B,"OPS")</f>
        <v>0</v>
      </c>
      <c r="I24" s="7">
        <f t="shared" si="37"/>
        <v>0</v>
      </c>
      <c r="J24" s="2">
        <f>COUNTIFS(Crewmanifest!F:F,'Speziesanteile nach Abteilungen'!A24,Crewmanifest!H:H,"Ja",Crewmanifest!B:B,"SEC")+COUNTIFS(Crewmanifest!G:G,'Speziesanteile nach Abteilungen'!A24,Crewmanifest!H:H,"Ja",Crewmanifest!B:B,"SEC")</f>
        <v>0</v>
      </c>
      <c r="K24" s="7">
        <f t="shared" ref="K24" si="38">J24/J$3</f>
        <v>0</v>
      </c>
      <c r="L24" s="2">
        <f>COUNTIFS(Crewmanifest!F:F,'Speziesanteile nach Abteilungen'!A24,Crewmanifest!H:H,"Ja",Crewmanifest!B:B,"ENG")+COUNTIFS(Crewmanifest!G:G,'Speziesanteile nach Abteilungen'!A24,Crewmanifest!H:H,"Ja",Crewmanifest!B:B,"ENG")</f>
        <v>1</v>
      </c>
      <c r="M24" s="7">
        <f t="shared" ref="M24" si="39">L24/L$3</f>
        <v>5.5555555555555552E-2</v>
      </c>
      <c r="N24" s="2">
        <f>COUNTIFS(Crewmanifest!F:F,'Speziesanteile nach Abteilungen'!A24,Crewmanifest!H:H,"Ja",Crewmanifest!B:B,"MED")+COUNTIFS(Crewmanifest!G:G,'Speziesanteile nach Abteilungen'!A24,Crewmanifest!H:H,"Ja",Crewmanifest!B:B,"MED")</f>
        <v>0</v>
      </c>
      <c r="O24" s="7">
        <f t="shared" ref="O24" si="40">N24/N$3</f>
        <v>0</v>
      </c>
      <c r="P24" s="2">
        <f>COUNTIFS(Crewmanifest!F:F,'Speziesanteile nach Abteilungen'!A24,Crewmanifest!H:H,"Ja",Crewmanifest!B:B,"SCI")+COUNTIFS(Crewmanifest!G:G,'Speziesanteile nach Abteilungen'!A24,Crewmanifest!H:H,"Ja",Crewmanifest!B:B,"SCI")</f>
        <v>1</v>
      </c>
      <c r="Q24" s="7">
        <f t="shared" ref="Q24" si="41">P24/P$3</f>
        <v>6.25E-2</v>
      </c>
      <c r="R24" s="2">
        <f>COUNTIFS(Crewmanifest!F:F,'Speziesanteile nach Abteilungen'!A24,Crewmanifest!H:H,"Ja",Crewmanifest!B:B,"COU")+COUNTIFS(Crewmanifest!G:G,'Speziesanteile nach Abteilungen'!A24,Crewmanifest!H:H,"Ja",Crewmanifest!B:B,"COU")</f>
        <v>1</v>
      </c>
      <c r="S24" s="7">
        <f t="shared" ref="S24" si="42">R24/R$3</f>
        <v>0.14285714285714285</v>
      </c>
      <c r="T24" s="2">
        <f>COUNTIFS(Crewmanifest!F:F,'Speziesanteile nach Abteilungen'!A24,Crewmanifest!H:H,"Ja",Crewmanifest!B:B,"Zivilist")+COUNTIFS(Crewmanifest!G:G,'Speziesanteile nach Abteilungen'!A24,Crewmanifest!H:H,"Ja",Crewmanifest!B:B,"Zivilist")</f>
        <v>1</v>
      </c>
      <c r="U24" s="7">
        <f t="shared" ref="U24" si="43">T24/T$3</f>
        <v>0.5</v>
      </c>
    </row>
    <row r="25" spans="1:21">
      <c r="A25" s="2" t="s">
        <v>61</v>
      </c>
      <c r="B25" s="2">
        <f>COUNTIFS(Crewmanifest!F:F,'Speziesanteile nach Abteilungen'!A25,Crewmanifest!H:H,"Ja")+COUNTIFS(Crewmanifest!G:G,'Speziesanteile nach Abteilungen'!A25,Crewmanifest!H:H,"Ja")</f>
        <v>1</v>
      </c>
      <c r="C25" s="7">
        <f t="shared" si="36"/>
        <v>1.0309278350515464E-2</v>
      </c>
      <c r="D25" s="2">
        <f>COUNTIFS(Crewmanifest!F:F,'Speziesanteile nach Abteilungen'!A25,Crewmanifest!H:H,"Ja",Crewmanifest!B:B,"CMD")+COUNTIFS(Crewmanifest!G:G,'Speziesanteile nach Abteilungen'!A25,Crewmanifest!H:H,"Ja",Crewmanifest!B:B,"CMD")</f>
        <v>0</v>
      </c>
      <c r="E25" s="7">
        <f t="shared" si="36"/>
        <v>0</v>
      </c>
      <c r="F25" s="2">
        <f>COUNTIFS(Crewmanifest!F:F,'Speziesanteile nach Abteilungen'!A25,Crewmanifest!H:H,"Ja",Crewmanifest!B:B,"CON")+COUNTIFS(Crewmanifest!G:G,'Speziesanteile nach Abteilungen'!A25,Crewmanifest!H:H,"Ja",Crewmanifest!B:B,"CON")</f>
        <v>0</v>
      </c>
      <c r="G25" s="7">
        <f t="shared" ref="G25:I25" si="44">F25/F$3</f>
        <v>0</v>
      </c>
      <c r="H25" s="2">
        <f>COUNTIFS(Crewmanifest!F:F,'Speziesanteile nach Abteilungen'!A25,Crewmanifest!H:H,"Ja",Crewmanifest!B:B,"OPS")+COUNTIFS(Crewmanifest!G:G,'Speziesanteile nach Abteilungen'!A25,Crewmanifest!H:H,"Ja",Crewmanifest!B:B,"OPS")</f>
        <v>1</v>
      </c>
      <c r="I25" s="7">
        <f t="shared" si="44"/>
        <v>0.1111111111111111</v>
      </c>
      <c r="J25" s="2">
        <f>COUNTIFS(Crewmanifest!F:F,'Speziesanteile nach Abteilungen'!A25,Crewmanifest!H:H,"Ja",Crewmanifest!B:B,"SEC")+COUNTIFS(Crewmanifest!G:G,'Speziesanteile nach Abteilungen'!A25,Crewmanifest!H:H,"Ja",Crewmanifest!B:B,"SEC")</f>
        <v>0</v>
      </c>
      <c r="K25" s="7">
        <f t="shared" ref="K25" si="45">J25/J$3</f>
        <v>0</v>
      </c>
      <c r="L25" s="2">
        <f>COUNTIFS(Crewmanifest!F:F,'Speziesanteile nach Abteilungen'!A25,Crewmanifest!H:H,"Ja",Crewmanifest!B:B,"ENG")+COUNTIFS(Crewmanifest!G:G,'Speziesanteile nach Abteilungen'!A25,Crewmanifest!H:H,"Ja",Crewmanifest!B:B,"ENG")</f>
        <v>0</v>
      </c>
      <c r="M25" s="7">
        <f t="shared" ref="M25" si="46">L25/L$3</f>
        <v>0</v>
      </c>
      <c r="N25" s="2">
        <f>COUNTIFS(Crewmanifest!F:F,'Speziesanteile nach Abteilungen'!A25,Crewmanifest!H:H,"Ja",Crewmanifest!B:B,"MED")+COUNTIFS(Crewmanifest!G:G,'Speziesanteile nach Abteilungen'!A25,Crewmanifest!H:H,"Ja",Crewmanifest!B:B,"MED")</f>
        <v>0</v>
      </c>
      <c r="O25" s="7">
        <f t="shared" ref="O25" si="47">N25/N$3</f>
        <v>0</v>
      </c>
      <c r="P25" s="2">
        <f>COUNTIFS(Crewmanifest!F:F,'Speziesanteile nach Abteilungen'!A25,Crewmanifest!H:H,"Ja",Crewmanifest!B:B,"SCI")+COUNTIFS(Crewmanifest!G:G,'Speziesanteile nach Abteilungen'!A25,Crewmanifest!H:H,"Ja",Crewmanifest!B:B,"SCI")</f>
        <v>0</v>
      </c>
      <c r="Q25" s="7">
        <f t="shared" ref="Q25" si="48">P25/P$3</f>
        <v>0</v>
      </c>
      <c r="R25" s="2">
        <f>COUNTIFS(Crewmanifest!F:F,'Speziesanteile nach Abteilungen'!A25,Crewmanifest!H:H,"Ja",Crewmanifest!B:B,"COU")+COUNTIFS(Crewmanifest!G:G,'Speziesanteile nach Abteilungen'!A25,Crewmanifest!H:H,"Ja",Crewmanifest!B:B,"COU")</f>
        <v>0</v>
      </c>
      <c r="S25" s="7">
        <f t="shared" ref="S25" si="49">R25/R$3</f>
        <v>0</v>
      </c>
      <c r="T25" s="2">
        <f>COUNTIFS(Crewmanifest!F:F,'Speziesanteile nach Abteilungen'!A25,Crewmanifest!H:H,"Ja",Crewmanifest!B:B,"Zivilist")+COUNTIFS(Crewmanifest!G:G,'Speziesanteile nach Abteilungen'!A25,Crewmanifest!H:H,"Ja",Crewmanifest!B:B,"Zivilist")</f>
        <v>0</v>
      </c>
      <c r="U25" s="7">
        <f t="shared" ref="U25" si="50">T25/T$3</f>
        <v>0</v>
      </c>
    </row>
    <row r="26" spans="1:21">
      <c r="A26" s="2" t="s">
        <v>170</v>
      </c>
      <c r="B26" s="2">
        <f>COUNTIFS(Crewmanifest!F:F,'Speziesanteile nach Abteilungen'!A26,Crewmanifest!H:H,"Ja")+COUNTIFS(Crewmanifest!G:G,'Speziesanteile nach Abteilungen'!A26,Crewmanifest!H:H,"Ja")</f>
        <v>1</v>
      </c>
      <c r="C26" s="7">
        <f t="shared" si="36"/>
        <v>1.0309278350515464E-2</v>
      </c>
      <c r="D26" s="2">
        <f>COUNTIFS(Crewmanifest!F:F,'Speziesanteile nach Abteilungen'!A26,Crewmanifest!H:H,"Ja",Crewmanifest!B:B,"CMD")+COUNTIFS(Crewmanifest!G:G,'Speziesanteile nach Abteilungen'!A26,Crewmanifest!H:H,"Ja",Crewmanifest!B:B,"CMD")</f>
        <v>0</v>
      </c>
      <c r="E26" s="7">
        <f t="shared" si="36"/>
        <v>0</v>
      </c>
      <c r="F26" s="2">
        <f>COUNTIFS(Crewmanifest!F:F,'Speziesanteile nach Abteilungen'!A26,Crewmanifest!H:H,"Ja",Crewmanifest!B:B,"CON")+COUNTIFS(Crewmanifest!G:G,'Speziesanteile nach Abteilungen'!A26,Crewmanifest!H:H,"Ja",Crewmanifest!B:B,"CON")</f>
        <v>0</v>
      </c>
      <c r="G26" s="7">
        <f t="shared" ref="G26:I26" si="51">F26/F$3</f>
        <v>0</v>
      </c>
      <c r="H26" s="2">
        <f>COUNTIFS(Crewmanifest!F:F,'Speziesanteile nach Abteilungen'!A26,Crewmanifest!H:H,"Ja",Crewmanifest!B:B,"OPS")+COUNTIFS(Crewmanifest!G:G,'Speziesanteile nach Abteilungen'!A26,Crewmanifest!H:H,"Ja",Crewmanifest!B:B,"OPS")</f>
        <v>0</v>
      </c>
      <c r="I26" s="7">
        <f t="shared" si="51"/>
        <v>0</v>
      </c>
      <c r="J26" s="2">
        <f>COUNTIFS(Crewmanifest!F:F,'Speziesanteile nach Abteilungen'!A26,Crewmanifest!H:H,"Ja",Crewmanifest!B:B,"SEC")+COUNTIFS(Crewmanifest!G:G,'Speziesanteile nach Abteilungen'!A26,Crewmanifest!H:H,"Ja",Crewmanifest!B:B,"SEC")</f>
        <v>0</v>
      </c>
      <c r="K26" s="7">
        <f t="shared" ref="K26" si="52">J26/J$3</f>
        <v>0</v>
      </c>
      <c r="L26" s="2">
        <f>COUNTIFS(Crewmanifest!F:F,'Speziesanteile nach Abteilungen'!A26,Crewmanifest!H:H,"Ja",Crewmanifest!B:B,"ENG")+COUNTIFS(Crewmanifest!G:G,'Speziesanteile nach Abteilungen'!A26,Crewmanifest!H:H,"Ja",Crewmanifest!B:B,"ENG")</f>
        <v>0</v>
      </c>
      <c r="M26" s="7">
        <f t="shared" ref="M26" si="53">L26/L$3</f>
        <v>0</v>
      </c>
      <c r="N26" s="2">
        <f>COUNTIFS(Crewmanifest!F:F,'Speziesanteile nach Abteilungen'!A26,Crewmanifest!H:H,"Ja",Crewmanifest!B:B,"MED")+COUNTIFS(Crewmanifest!G:G,'Speziesanteile nach Abteilungen'!A26,Crewmanifest!H:H,"Ja",Crewmanifest!B:B,"MED")</f>
        <v>0</v>
      </c>
      <c r="O26" s="7">
        <f t="shared" ref="O26" si="54">N26/N$3</f>
        <v>0</v>
      </c>
      <c r="P26" s="2">
        <f>COUNTIFS(Crewmanifest!F:F,'Speziesanteile nach Abteilungen'!A26,Crewmanifest!H:H,"Ja",Crewmanifest!B:B,"SCI")+COUNTIFS(Crewmanifest!G:G,'Speziesanteile nach Abteilungen'!A26,Crewmanifest!H:H,"Ja",Crewmanifest!B:B,"SCI")</f>
        <v>1</v>
      </c>
      <c r="Q26" s="7">
        <f t="shared" ref="Q26" si="55">P26/P$3</f>
        <v>6.25E-2</v>
      </c>
      <c r="R26" s="2">
        <f>COUNTIFS(Crewmanifest!F:F,'Speziesanteile nach Abteilungen'!A26,Crewmanifest!H:H,"Ja",Crewmanifest!B:B,"COU")+COUNTIFS(Crewmanifest!G:G,'Speziesanteile nach Abteilungen'!A26,Crewmanifest!H:H,"Ja",Crewmanifest!B:B,"COU")</f>
        <v>0</v>
      </c>
      <c r="S26" s="7">
        <f t="shared" ref="S26" si="56">R26/R$3</f>
        <v>0</v>
      </c>
      <c r="T26" s="2">
        <f>COUNTIFS(Crewmanifest!F:F,'Speziesanteile nach Abteilungen'!A26,Crewmanifest!H:H,"Ja",Crewmanifest!B:B,"Zivilist")+COUNTIFS(Crewmanifest!G:G,'Speziesanteile nach Abteilungen'!A26,Crewmanifest!H:H,"Ja",Crewmanifest!B:B,"Zivilist")</f>
        <v>0</v>
      </c>
      <c r="U26" s="7">
        <f t="shared" ref="U26" si="57">T26/T$3</f>
        <v>0</v>
      </c>
    </row>
    <row r="27" spans="1:21">
      <c r="A27" s="2" t="s">
        <v>171</v>
      </c>
      <c r="B27" s="2">
        <f>COUNTIFS(Crewmanifest!F:F,'Speziesanteile nach Abteilungen'!A27,Crewmanifest!H:H,"Ja")+COUNTIFS(Crewmanifest!G:G,'Speziesanteile nach Abteilungen'!A27,Crewmanifest!H:H,"Ja")</f>
        <v>1</v>
      </c>
      <c r="C27" s="7">
        <f t="shared" si="36"/>
        <v>1.0309278350515464E-2</v>
      </c>
      <c r="D27" s="2">
        <f>COUNTIFS(Crewmanifest!F:F,'Speziesanteile nach Abteilungen'!A27,Crewmanifest!H:H,"Ja",Crewmanifest!B:B,"CMD")+COUNTIFS(Crewmanifest!G:G,'Speziesanteile nach Abteilungen'!A27,Crewmanifest!H:H,"Ja",Crewmanifest!B:B,"CMD")</f>
        <v>0</v>
      </c>
      <c r="E27" s="7">
        <f t="shared" si="36"/>
        <v>0</v>
      </c>
      <c r="F27" s="2">
        <f>COUNTIFS(Crewmanifest!F:F,'Speziesanteile nach Abteilungen'!A27,Crewmanifest!H:H,"Ja",Crewmanifest!B:B,"CON")+COUNTIFS(Crewmanifest!G:G,'Speziesanteile nach Abteilungen'!A27,Crewmanifest!H:H,"Ja",Crewmanifest!B:B,"CON")</f>
        <v>0</v>
      </c>
      <c r="G27" s="7">
        <f t="shared" ref="G27:I27" si="58">F27/F$3</f>
        <v>0</v>
      </c>
      <c r="H27" s="2">
        <f>COUNTIFS(Crewmanifest!F:F,'Speziesanteile nach Abteilungen'!A27,Crewmanifest!H:H,"Ja",Crewmanifest!B:B,"OPS")+COUNTIFS(Crewmanifest!G:G,'Speziesanteile nach Abteilungen'!A27,Crewmanifest!H:H,"Ja",Crewmanifest!B:B,"OPS")</f>
        <v>0</v>
      </c>
      <c r="I27" s="7">
        <f t="shared" si="58"/>
        <v>0</v>
      </c>
      <c r="J27" s="2">
        <f>COUNTIFS(Crewmanifest!F:F,'Speziesanteile nach Abteilungen'!A27,Crewmanifest!H:H,"Ja",Crewmanifest!B:B,"SEC")+COUNTIFS(Crewmanifest!G:G,'Speziesanteile nach Abteilungen'!A27,Crewmanifest!H:H,"Ja",Crewmanifest!B:B,"SEC")</f>
        <v>0</v>
      </c>
      <c r="K27" s="7">
        <f t="shared" ref="K27" si="59">J27/J$3</f>
        <v>0</v>
      </c>
      <c r="L27" s="2">
        <f>COUNTIFS(Crewmanifest!F:F,'Speziesanteile nach Abteilungen'!A27,Crewmanifest!H:H,"Ja",Crewmanifest!B:B,"ENG")+COUNTIFS(Crewmanifest!G:G,'Speziesanteile nach Abteilungen'!A27,Crewmanifest!H:H,"Ja",Crewmanifest!B:B,"ENG")</f>
        <v>0</v>
      </c>
      <c r="M27" s="7">
        <f t="shared" ref="M27" si="60">L27/L$3</f>
        <v>0</v>
      </c>
      <c r="N27" s="2">
        <f>COUNTIFS(Crewmanifest!F:F,'Speziesanteile nach Abteilungen'!A27,Crewmanifest!H:H,"Ja",Crewmanifest!B:B,"MED")+COUNTIFS(Crewmanifest!G:G,'Speziesanteile nach Abteilungen'!A27,Crewmanifest!H:H,"Ja",Crewmanifest!B:B,"MED")</f>
        <v>0</v>
      </c>
      <c r="O27" s="7">
        <f t="shared" ref="O27" si="61">N27/N$3</f>
        <v>0</v>
      </c>
      <c r="P27" s="2">
        <f>COUNTIFS(Crewmanifest!F:F,'Speziesanteile nach Abteilungen'!A27,Crewmanifest!H:H,"Ja",Crewmanifest!B:B,"SCI")+COUNTIFS(Crewmanifest!G:G,'Speziesanteile nach Abteilungen'!A27,Crewmanifest!H:H,"Ja",Crewmanifest!B:B,"SCI")</f>
        <v>0</v>
      </c>
      <c r="Q27" s="7">
        <f t="shared" ref="Q27" si="62">P27/P$3</f>
        <v>0</v>
      </c>
      <c r="R27" s="2">
        <f>COUNTIFS(Crewmanifest!F:F,'Speziesanteile nach Abteilungen'!A27,Crewmanifest!H:H,"Ja",Crewmanifest!B:B,"COU")+COUNTIFS(Crewmanifest!G:G,'Speziesanteile nach Abteilungen'!A27,Crewmanifest!H:H,"Ja",Crewmanifest!B:B,"COU")</f>
        <v>1</v>
      </c>
      <c r="S27" s="7">
        <f t="shared" ref="S27" si="63">R27/R$3</f>
        <v>0.14285714285714285</v>
      </c>
      <c r="T27" s="2">
        <f>COUNTIFS(Crewmanifest!F:F,'Speziesanteile nach Abteilungen'!A27,Crewmanifest!H:H,"Ja",Crewmanifest!B:B,"Zivilist")+COUNTIFS(Crewmanifest!G:G,'Speziesanteile nach Abteilungen'!A27,Crewmanifest!H:H,"Ja",Crewmanifest!B:B,"Zivilist")</f>
        <v>0</v>
      </c>
      <c r="U27" s="7">
        <f t="shared" ref="U27" si="64">T27/T$3</f>
        <v>0</v>
      </c>
    </row>
    <row r="28" spans="1:21">
      <c r="A28" s="2" t="s">
        <v>56</v>
      </c>
      <c r="B28" s="2">
        <f>COUNTIFS(Crewmanifest!F:F,'Speziesanteile nach Abteilungen'!A28,Crewmanifest!H:H,"Ja")+COUNTIFS(Crewmanifest!G:G,'Speziesanteile nach Abteilungen'!A28,Crewmanifest!H:H,"Ja")</f>
        <v>2</v>
      </c>
      <c r="C28" s="7">
        <f t="shared" si="36"/>
        <v>2.0618556701030927E-2</v>
      </c>
      <c r="D28" s="2">
        <f>COUNTIFS(Crewmanifest!F:F,'Speziesanteile nach Abteilungen'!A28,Crewmanifest!H:H,"Ja",Crewmanifest!B:B,"CMD")+COUNTIFS(Crewmanifest!G:G,'Speziesanteile nach Abteilungen'!A28,Crewmanifest!H:H,"Ja",Crewmanifest!B:B,"CMD")</f>
        <v>0</v>
      </c>
      <c r="E28" s="7">
        <f t="shared" si="36"/>
        <v>0</v>
      </c>
      <c r="F28" s="2">
        <f>COUNTIFS(Crewmanifest!F:F,'Speziesanteile nach Abteilungen'!A28,Crewmanifest!H:H,"Ja",Crewmanifest!B:B,"CON")+COUNTIFS(Crewmanifest!G:G,'Speziesanteile nach Abteilungen'!A28,Crewmanifest!H:H,"Ja",Crewmanifest!B:B,"CON")</f>
        <v>0</v>
      </c>
      <c r="G28" s="7">
        <f t="shared" ref="G28:I28" si="65">F28/F$3</f>
        <v>0</v>
      </c>
      <c r="H28" s="2">
        <f>COUNTIFS(Crewmanifest!F:F,'Speziesanteile nach Abteilungen'!A28,Crewmanifest!H:H,"Ja",Crewmanifest!B:B,"OPS")+COUNTIFS(Crewmanifest!G:G,'Speziesanteile nach Abteilungen'!A28,Crewmanifest!H:H,"Ja",Crewmanifest!B:B,"OPS")</f>
        <v>1</v>
      </c>
      <c r="I28" s="7">
        <f t="shared" si="65"/>
        <v>0.1111111111111111</v>
      </c>
      <c r="J28" s="2">
        <f>COUNTIFS(Crewmanifest!F:F,'Speziesanteile nach Abteilungen'!A28,Crewmanifest!H:H,"Ja",Crewmanifest!B:B,"SEC")+COUNTIFS(Crewmanifest!G:G,'Speziesanteile nach Abteilungen'!A28,Crewmanifest!H:H,"Ja",Crewmanifest!B:B,"SEC")</f>
        <v>1</v>
      </c>
      <c r="K28" s="7">
        <f t="shared" ref="K28" si="66">J28/J$3</f>
        <v>4.1666666666666664E-2</v>
      </c>
      <c r="L28" s="2">
        <f>COUNTIFS(Crewmanifest!F:F,'Speziesanteile nach Abteilungen'!A28,Crewmanifest!H:H,"Ja",Crewmanifest!B:B,"ENG")+COUNTIFS(Crewmanifest!G:G,'Speziesanteile nach Abteilungen'!A28,Crewmanifest!H:H,"Ja",Crewmanifest!B:B,"ENG")</f>
        <v>0</v>
      </c>
      <c r="M28" s="7">
        <f t="shared" ref="M28" si="67">L28/L$3</f>
        <v>0</v>
      </c>
      <c r="N28" s="2">
        <f>COUNTIFS(Crewmanifest!F:F,'Speziesanteile nach Abteilungen'!A28,Crewmanifest!H:H,"Ja",Crewmanifest!B:B,"MED")+COUNTIFS(Crewmanifest!G:G,'Speziesanteile nach Abteilungen'!A28,Crewmanifest!H:H,"Ja",Crewmanifest!B:B,"MED")</f>
        <v>0</v>
      </c>
      <c r="O28" s="7">
        <f t="shared" ref="O28" si="68">N28/N$3</f>
        <v>0</v>
      </c>
      <c r="P28" s="2">
        <f>COUNTIFS(Crewmanifest!F:F,'Speziesanteile nach Abteilungen'!A28,Crewmanifest!H:H,"Ja",Crewmanifest!B:B,"SCI")+COUNTIFS(Crewmanifest!G:G,'Speziesanteile nach Abteilungen'!A28,Crewmanifest!H:H,"Ja",Crewmanifest!B:B,"SCI")</f>
        <v>0</v>
      </c>
      <c r="Q28" s="7">
        <f t="shared" ref="Q28" si="69">P28/P$3</f>
        <v>0</v>
      </c>
      <c r="R28" s="2">
        <f>COUNTIFS(Crewmanifest!F:F,'Speziesanteile nach Abteilungen'!A28,Crewmanifest!H:H,"Ja",Crewmanifest!B:B,"COU")+COUNTIFS(Crewmanifest!G:G,'Speziesanteile nach Abteilungen'!A28,Crewmanifest!H:H,"Ja",Crewmanifest!B:B,"COU")</f>
        <v>0</v>
      </c>
      <c r="S28" s="7">
        <f t="shared" ref="S28" si="70">R28/R$3</f>
        <v>0</v>
      </c>
      <c r="T28" s="2">
        <f>COUNTIFS(Crewmanifest!F:F,'Speziesanteile nach Abteilungen'!A28,Crewmanifest!H:H,"Ja",Crewmanifest!B:B,"Zivilist")+COUNTIFS(Crewmanifest!G:G,'Speziesanteile nach Abteilungen'!A28,Crewmanifest!H:H,"Ja",Crewmanifest!B:B,"Zivilist")</f>
        <v>0</v>
      </c>
      <c r="U28" s="7">
        <f t="shared" ref="U28" si="71">T28/T$3</f>
        <v>0</v>
      </c>
    </row>
    <row r="29" spans="1:21">
      <c r="A29" s="2" t="s">
        <v>13</v>
      </c>
      <c r="B29" s="2">
        <f>COUNTIFS(Crewmanifest!F:F,'Speziesanteile nach Abteilungen'!A29,Crewmanifest!H:H,"Ja")+COUNTIFS(Crewmanifest!G:G,'Speziesanteile nach Abteilungen'!A29,Crewmanifest!H:H,"Ja")</f>
        <v>9</v>
      </c>
      <c r="C29" s="7">
        <f t="shared" si="36"/>
        <v>9.2783505154639179E-2</v>
      </c>
      <c r="D29" s="2">
        <f>COUNTIFS(Crewmanifest!F:F,'Speziesanteile nach Abteilungen'!A29,Crewmanifest!H:H,"Ja",Crewmanifest!B:B,"CMD")+COUNTIFS(Crewmanifest!G:G,'Speziesanteile nach Abteilungen'!A29,Crewmanifest!H:H,"Ja",Crewmanifest!B:B,"CMD")</f>
        <v>0</v>
      </c>
      <c r="E29" s="7">
        <f t="shared" si="36"/>
        <v>0</v>
      </c>
      <c r="F29" s="2">
        <f>COUNTIFS(Crewmanifest!F:F,'Speziesanteile nach Abteilungen'!A29,Crewmanifest!H:H,"Ja",Crewmanifest!B:B,"CON")+COUNTIFS(Crewmanifest!G:G,'Speziesanteile nach Abteilungen'!A29,Crewmanifest!H:H,"Ja",Crewmanifest!B:B,"CON")</f>
        <v>0</v>
      </c>
      <c r="G29" s="7">
        <f t="shared" ref="G29:I29" si="72">F29/F$3</f>
        <v>0</v>
      </c>
      <c r="H29" s="2">
        <f>COUNTIFS(Crewmanifest!F:F,'Speziesanteile nach Abteilungen'!A29,Crewmanifest!H:H,"Ja",Crewmanifest!B:B,"OPS")+COUNTIFS(Crewmanifest!G:G,'Speziesanteile nach Abteilungen'!A29,Crewmanifest!H:H,"Ja",Crewmanifest!B:B,"OPS")</f>
        <v>0</v>
      </c>
      <c r="I29" s="7">
        <f t="shared" si="72"/>
        <v>0</v>
      </c>
      <c r="J29" s="2">
        <f>COUNTIFS(Crewmanifest!F:F,'Speziesanteile nach Abteilungen'!A29,Crewmanifest!H:H,"Ja",Crewmanifest!B:B,"SEC")+COUNTIFS(Crewmanifest!G:G,'Speziesanteile nach Abteilungen'!A29,Crewmanifest!H:H,"Ja",Crewmanifest!B:B,"SEC")</f>
        <v>1</v>
      </c>
      <c r="K29" s="7">
        <f t="shared" ref="K29" si="73">J29/J$3</f>
        <v>4.1666666666666664E-2</v>
      </c>
      <c r="L29" s="2">
        <f>COUNTIFS(Crewmanifest!F:F,'Speziesanteile nach Abteilungen'!A29,Crewmanifest!H:H,"Ja",Crewmanifest!B:B,"ENG")+COUNTIFS(Crewmanifest!G:G,'Speziesanteile nach Abteilungen'!A29,Crewmanifest!H:H,"Ja",Crewmanifest!B:B,"ENG")</f>
        <v>3</v>
      </c>
      <c r="M29" s="7">
        <f t="shared" ref="M29" si="74">L29/L$3</f>
        <v>0.16666666666666666</v>
      </c>
      <c r="N29" s="2">
        <f>COUNTIFS(Crewmanifest!F:F,'Speziesanteile nach Abteilungen'!A29,Crewmanifest!H:H,"Ja",Crewmanifest!B:B,"MED")+COUNTIFS(Crewmanifest!G:G,'Speziesanteile nach Abteilungen'!A29,Crewmanifest!H:H,"Ja",Crewmanifest!B:B,"MED")</f>
        <v>0</v>
      </c>
      <c r="O29" s="7">
        <f t="shared" ref="O29" si="75">N29/N$3</f>
        <v>0</v>
      </c>
      <c r="P29" s="2">
        <f>COUNTIFS(Crewmanifest!F:F,'Speziesanteile nach Abteilungen'!A29,Crewmanifest!H:H,"Ja",Crewmanifest!B:B,"SCI")+COUNTIFS(Crewmanifest!G:G,'Speziesanteile nach Abteilungen'!A29,Crewmanifest!H:H,"Ja",Crewmanifest!B:B,"SCI")</f>
        <v>1</v>
      </c>
      <c r="Q29" s="7">
        <f t="shared" ref="Q29" si="76">P29/P$3</f>
        <v>6.25E-2</v>
      </c>
      <c r="R29" s="2">
        <f>COUNTIFS(Crewmanifest!F:F,'Speziesanteile nach Abteilungen'!A29,Crewmanifest!H:H,"Ja",Crewmanifest!B:B,"COU")+COUNTIFS(Crewmanifest!G:G,'Speziesanteile nach Abteilungen'!A29,Crewmanifest!H:H,"Ja",Crewmanifest!B:B,"COU")</f>
        <v>3</v>
      </c>
      <c r="S29" s="7">
        <f t="shared" ref="S29" si="77">R29/R$3</f>
        <v>0.42857142857142855</v>
      </c>
      <c r="T29" s="2">
        <f>COUNTIFS(Crewmanifest!F:F,'Speziesanteile nach Abteilungen'!A29,Crewmanifest!H:H,"Ja",Crewmanifest!B:B,"Zivilist")+COUNTIFS(Crewmanifest!G:G,'Speziesanteile nach Abteilungen'!A29,Crewmanifest!H:H,"Ja",Crewmanifest!B:B,"Zivilist")</f>
        <v>1</v>
      </c>
      <c r="U29" s="7">
        <f t="shared" ref="U29" si="78">T29/T$3</f>
        <v>0.5</v>
      </c>
    </row>
    <row r="30" spans="1:21">
      <c r="A30" s="2" t="s">
        <v>172</v>
      </c>
      <c r="B30" s="2">
        <f>COUNTIFS(Crewmanifest!F:F,'Speziesanteile nach Abteilungen'!A30,Crewmanifest!H:H,"Ja")+COUNTIFS(Crewmanifest!G:G,'Speziesanteile nach Abteilungen'!A30,Crewmanifest!H:H,"Ja")</f>
        <v>1</v>
      </c>
      <c r="C30" s="7">
        <f t="shared" si="36"/>
        <v>1.0309278350515464E-2</v>
      </c>
      <c r="D30" s="2">
        <f>COUNTIFS(Crewmanifest!F:F,'Speziesanteile nach Abteilungen'!A30,Crewmanifest!H:H,"Ja",Crewmanifest!B:B,"CMD")+COUNTIFS(Crewmanifest!G:G,'Speziesanteile nach Abteilungen'!A30,Crewmanifest!H:H,"Ja",Crewmanifest!B:B,"CMD")</f>
        <v>0</v>
      </c>
      <c r="E30" s="7">
        <f t="shared" si="36"/>
        <v>0</v>
      </c>
      <c r="F30" s="2">
        <f>COUNTIFS(Crewmanifest!F:F,'Speziesanteile nach Abteilungen'!A30,Crewmanifest!H:H,"Ja",Crewmanifest!B:B,"CON")+COUNTIFS(Crewmanifest!G:G,'Speziesanteile nach Abteilungen'!A30,Crewmanifest!H:H,"Ja",Crewmanifest!B:B,"CON")</f>
        <v>0</v>
      </c>
      <c r="G30" s="7">
        <f t="shared" ref="G30:I30" si="79">F30/F$3</f>
        <v>0</v>
      </c>
      <c r="H30" s="2">
        <f>COUNTIFS(Crewmanifest!F:F,'Speziesanteile nach Abteilungen'!A30,Crewmanifest!H:H,"Ja",Crewmanifest!B:B,"OPS")+COUNTIFS(Crewmanifest!G:G,'Speziesanteile nach Abteilungen'!A30,Crewmanifest!H:H,"Ja",Crewmanifest!B:B,"OPS")</f>
        <v>0</v>
      </c>
      <c r="I30" s="7">
        <f t="shared" si="79"/>
        <v>0</v>
      </c>
      <c r="J30" s="2">
        <f>COUNTIFS(Crewmanifest!F:F,'Speziesanteile nach Abteilungen'!A30,Crewmanifest!H:H,"Ja",Crewmanifest!B:B,"SEC")+COUNTIFS(Crewmanifest!G:G,'Speziesanteile nach Abteilungen'!A30,Crewmanifest!H:H,"Ja",Crewmanifest!B:B,"SEC")</f>
        <v>0</v>
      </c>
      <c r="K30" s="7">
        <f t="shared" ref="K30" si="80">J30/J$3</f>
        <v>0</v>
      </c>
      <c r="L30" s="2">
        <f>COUNTIFS(Crewmanifest!F:F,'Speziesanteile nach Abteilungen'!A30,Crewmanifest!H:H,"Ja",Crewmanifest!B:B,"ENG")+COUNTIFS(Crewmanifest!G:G,'Speziesanteile nach Abteilungen'!A30,Crewmanifest!H:H,"Ja",Crewmanifest!B:B,"ENG")</f>
        <v>0</v>
      </c>
      <c r="M30" s="7">
        <f t="shared" ref="M30" si="81">L30/L$3</f>
        <v>0</v>
      </c>
      <c r="N30" s="2">
        <f>COUNTIFS(Crewmanifest!F:F,'Speziesanteile nach Abteilungen'!A30,Crewmanifest!H:H,"Ja",Crewmanifest!B:B,"MED")+COUNTIFS(Crewmanifest!G:G,'Speziesanteile nach Abteilungen'!A30,Crewmanifest!H:H,"Ja",Crewmanifest!B:B,"MED")</f>
        <v>0</v>
      </c>
      <c r="O30" s="7">
        <f t="shared" ref="O30" si="82">N30/N$3</f>
        <v>0</v>
      </c>
      <c r="P30" s="2">
        <f>COUNTIFS(Crewmanifest!F:F,'Speziesanteile nach Abteilungen'!A30,Crewmanifest!H:H,"Ja",Crewmanifest!B:B,"SCI")+COUNTIFS(Crewmanifest!G:G,'Speziesanteile nach Abteilungen'!A30,Crewmanifest!H:H,"Ja",Crewmanifest!B:B,"SCI")</f>
        <v>0</v>
      </c>
      <c r="Q30" s="7">
        <f t="shared" ref="Q30" si="83">P30/P$3</f>
        <v>0</v>
      </c>
      <c r="R30" s="2">
        <f>COUNTIFS(Crewmanifest!F:F,'Speziesanteile nach Abteilungen'!A30,Crewmanifest!H:H,"Ja",Crewmanifest!B:B,"COU")+COUNTIFS(Crewmanifest!G:G,'Speziesanteile nach Abteilungen'!A30,Crewmanifest!H:H,"Ja",Crewmanifest!B:B,"COU")</f>
        <v>1</v>
      </c>
      <c r="S30" s="7">
        <f t="shared" ref="S30" si="84">R30/R$3</f>
        <v>0.14285714285714285</v>
      </c>
      <c r="T30" s="2">
        <f>COUNTIFS(Crewmanifest!F:F,'Speziesanteile nach Abteilungen'!A30,Crewmanifest!H:H,"Ja",Crewmanifest!B:B,"Zivilist")+COUNTIFS(Crewmanifest!G:G,'Speziesanteile nach Abteilungen'!A30,Crewmanifest!H:H,"Ja",Crewmanifest!B:B,"Zivilist")</f>
        <v>0</v>
      </c>
      <c r="U30" s="7">
        <f t="shared" ref="U30" si="85">T30/T$3</f>
        <v>0</v>
      </c>
    </row>
    <row r="31" spans="1:21">
      <c r="A31" t="s">
        <v>167</v>
      </c>
      <c r="B31" s="2">
        <f>COUNTIFS(Crewmanifest!F:F,'Speziesanteile nach Abteilungen'!A31,Crewmanifest!H:H,"Ja")+COUNTIFS(Crewmanifest!G:G,'Speziesanteile nach Abteilungen'!A31,Crewmanifest!H:H,"Ja")</f>
        <v>1</v>
      </c>
      <c r="C31" s="7">
        <f t="shared" si="36"/>
        <v>1.0309278350515464E-2</v>
      </c>
      <c r="D31" s="2">
        <f>COUNTIFS(Crewmanifest!F:F,'Speziesanteile nach Abteilungen'!A31,Crewmanifest!H:H,"Ja",Crewmanifest!B:B,"CMD")+COUNTIFS(Crewmanifest!G:G,'Speziesanteile nach Abteilungen'!A31,Crewmanifest!H:H,"Ja",Crewmanifest!B:B,"CMD")</f>
        <v>0</v>
      </c>
      <c r="E31" s="7">
        <f t="shared" si="36"/>
        <v>0</v>
      </c>
      <c r="F31" s="2">
        <f>COUNTIFS(Crewmanifest!F:F,'Speziesanteile nach Abteilungen'!A31,Crewmanifest!H:H,"Ja",Crewmanifest!B:B,"CON")+COUNTIFS(Crewmanifest!G:G,'Speziesanteile nach Abteilungen'!A31,Crewmanifest!H:H,"Ja",Crewmanifest!B:B,"CON")</f>
        <v>0</v>
      </c>
      <c r="G31" s="7">
        <f t="shared" ref="G31:I31" si="86">F31/F$3</f>
        <v>0</v>
      </c>
      <c r="H31" s="2">
        <f>COUNTIFS(Crewmanifest!F:F,'Speziesanteile nach Abteilungen'!A31,Crewmanifest!H:H,"Ja",Crewmanifest!B:B,"OPS")+COUNTIFS(Crewmanifest!G:G,'Speziesanteile nach Abteilungen'!A31,Crewmanifest!H:H,"Ja",Crewmanifest!B:B,"OPS")</f>
        <v>0</v>
      </c>
      <c r="I31" s="7">
        <f t="shared" si="86"/>
        <v>0</v>
      </c>
      <c r="J31" s="2">
        <f>COUNTIFS(Crewmanifest!F:F,'Speziesanteile nach Abteilungen'!A31,Crewmanifest!H:H,"Ja",Crewmanifest!B:B,"SEC")+COUNTIFS(Crewmanifest!G:G,'Speziesanteile nach Abteilungen'!A31,Crewmanifest!H:H,"Ja",Crewmanifest!B:B,"SEC")</f>
        <v>0</v>
      </c>
      <c r="K31" s="7">
        <f t="shared" ref="K31" si="87">J31/J$3</f>
        <v>0</v>
      </c>
      <c r="L31" s="2">
        <f>COUNTIFS(Crewmanifest!F:F,'Speziesanteile nach Abteilungen'!A31,Crewmanifest!H:H,"Ja",Crewmanifest!B:B,"ENG")+COUNTIFS(Crewmanifest!G:G,'Speziesanteile nach Abteilungen'!A31,Crewmanifest!H:H,"Ja",Crewmanifest!B:B,"ENG")</f>
        <v>1</v>
      </c>
      <c r="M31" s="7">
        <f t="shared" ref="M31" si="88">L31/L$3</f>
        <v>5.5555555555555552E-2</v>
      </c>
      <c r="N31" s="2">
        <f>COUNTIFS(Crewmanifest!F:F,'Speziesanteile nach Abteilungen'!A31,Crewmanifest!H:H,"Ja",Crewmanifest!B:B,"MED")+COUNTIFS(Crewmanifest!G:G,'Speziesanteile nach Abteilungen'!A31,Crewmanifest!H:H,"Ja",Crewmanifest!B:B,"MED")</f>
        <v>0</v>
      </c>
      <c r="O31" s="7">
        <f t="shared" ref="O31" si="89">N31/N$3</f>
        <v>0</v>
      </c>
      <c r="P31" s="2">
        <f>COUNTIFS(Crewmanifest!F:F,'Speziesanteile nach Abteilungen'!A31,Crewmanifest!H:H,"Ja",Crewmanifest!B:B,"SCI")+COUNTIFS(Crewmanifest!G:G,'Speziesanteile nach Abteilungen'!A31,Crewmanifest!H:H,"Ja",Crewmanifest!B:B,"SCI")</f>
        <v>0</v>
      </c>
      <c r="Q31" s="7">
        <f t="shared" ref="Q31" si="90">P31/P$3</f>
        <v>0</v>
      </c>
      <c r="R31" s="2">
        <f>COUNTIFS(Crewmanifest!F:F,'Speziesanteile nach Abteilungen'!A31,Crewmanifest!H:H,"Ja",Crewmanifest!B:B,"COU")+COUNTIFS(Crewmanifest!G:G,'Speziesanteile nach Abteilungen'!A31,Crewmanifest!H:H,"Ja",Crewmanifest!B:B,"COU")</f>
        <v>0</v>
      </c>
      <c r="S31" s="7">
        <f t="shared" ref="S31" si="91">R31/R$3</f>
        <v>0</v>
      </c>
      <c r="T31" s="2">
        <f>COUNTIFS(Crewmanifest!F:F,'Speziesanteile nach Abteilungen'!A31,Crewmanifest!H:H,"Ja",Crewmanifest!B:B,"Zivilist")+COUNTIFS(Crewmanifest!G:G,'Speziesanteile nach Abteilungen'!A31,Crewmanifest!H:H,"Ja",Crewmanifest!B:B,"Zivilist")</f>
        <v>0</v>
      </c>
      <c r="U31" s="7">
        <f t="shared" ref="U31" si="92">T31/T$3</f>
        <v>0</v>
      </c>
    </row>
    <row r="32" spans="1:21">
      <c r="A32" t="s">
        <v>169</v>
      </c>
      <c r="B32" s="2">
        <f>COUNTIFS(Crewmanifest!F:F,'Speziesanteile nach Abteilungen'!A32,Crewmanifest!H:H,"Ja")+COUNTIFS(Crewmanifest!G:G,'Speziesanteile nach Abteilungen'!A32,Crewmanifest!H:H,"Ja")</f>
        <v>1</v>
      </c>
      <c r="C32" s="7">
        <f t="shared" si="36"/>
        <v>1.0309278350515464E-2</v>
      </c>
      <c r="D32" s="2">
        <f>COUNTIFS(Crewmanifest!F:F,'Speziesanteile nach Abteilungen'!A32,Crewmanifest!H:H,"Ja",Crewmanifest!B:B,"CMD")+COUNTIFS(Crewmanifest!G:G,'Speziesanteile nach Abteilungen'!A32,Crewmanifest!H:H,"Ja",Crewmanifest!B:B,"CMD")</f>
        <v>0</v>
      </c>
      <c r="E32" s="7">
        <f t="shared" si="36"/>
        <v>0</v>
      </c>
      <c r="F32" s="2">
        <f>COUNTIFS(Crewmanifest!F:F,'Speziesanteile nach Abteilungen'!A32,Crewmanifest!H:H,"Ja",Crewmanifest!B:B,"CON")+COUNTIFS(Crewmanifest!G:G,'Speziesanteile nach Abteilungen'!A32,Crewmanifest!H:H,"Ja",Crewmanifest!B:B,"CON")</f>
        <v>0</v>
      </c>
      <c r="G32" s="7">
        <f t="shared" ref="G32:I32" si="93">F32/F$3</f>
        <v>0</v>
      </c>
      <c r="H32" s="2">
        <f>COUNTIFS(Crewmanifest!F:F,'Speziesanteile nach Abteilungen'!A32,Crewmanifest!H:H,"Ja",Crewmanifest!B:B,"OPS")+COUNTIFS(Crewmanifest!G:G,'Speziesanteile nach Abteilungen'!A32,Crewmanifest!H:H,"Ja",Crewmanifest!B:B,"OPS")</f>
        <v>0</v>
      </c>
      <c r="I32" s="7">
        <f t="shared" si="93"/>
        <v>0</v>
      </c>
      <c r="J32" s="2">
        <f>COUNTIFS(Crewmanifest!F:F,'Speziesanteile nach Abteilungen'!A32,Crewmanifest!H:H,"Ja",Crewmanifest!B:B,"SEC")+COUNTIFS(Crewmanifest!G:G,'Speziesanteile nach Abteilungen'!A32,Crewmanifest!H:H,"Ja",Crewmanifest!B:B,"SEC")</f>
        <v>0</v>
      </c>
      <c r="K32" s="7">
        <f t="shared" ref="K32" si="94">J32/J$3</f>
        <v>0</v>
      </c>
      <c r="L32" s="2">
        <f>COUNTIFS(Crewmanifest!F:F,'Speziesanteile nach Abteilungen'!A32,Crewmanifest!H:H,"Ja",Crewmanifest!B:B,"ENG")+COUNTIFS(Crewmanifest!G:G,'Speziesanteile nach Abteilungen'!A32,Crewmanifest!H:H,"Ja",Crewmanifest!B:B,"ENG")</f>
        <v>0</v>
      </c>
      <c r="M32" s="7">
        <f t="shared" ref="M32" si="95">L32/L$3</f>
        <v>0</v>
      </c>
      <c r="N32" s="2">
        <f>COUNTIFS(Crewmanifest!F:F,'Speziesanteile nach Abteilungen'!A32,Crewmanifest!H:H,"Ja",Crewmanifest!B:B,"MED")+COUNTIFS(Crewmanifest!G:G,'Speziesanteile nach Abteilungen'!A32,Crewmanifest!H:H,"Ja",Crewmanifest!B:B,"MED")</f>
        <v>0</v>
      </c>
      <c r="O32" s="7">
        <f t="shared" ref="O32" si="96">N32/N$3</f>
        <v>0</v>
      </c>
      <c r="P32" s="2">
        <f>COUNTIFS(Crewmanifest!F:F,'Speziesanteile nach Abteilungen'!A32,Crewmanifest!H:H,"Ja",Crewmanifest!B:B,"SCI")+COUNTIFS(Crewmanifest!G:G,'Speziesanteile nach Abteilungen'!A32,Crewmanifest!H:H,"Ja",Crewmanifest!B:B,"SCI")</f>
        <v>1</v>
      </c>
      <c r="Q32" s="7">
        <f t="shared" ref="Q32" si="97">P32/P$3</f>
        <v>6.25E-2</v>
      </c>
      <c r="R32" s="2">
        <f>COUNTIFS(Crewmanifest!F:F,'Speziesanteile nach Abteilungen'!A32,Crewmanifest!H:H,"Ja",Crewmanifest!B:B,"COU")+COUNTIFS(Crewmanifest!G:G,'Speziesanteile nach Abteilungen'!A32,Crewmanifest!H:H,"Ja",Crewmanifest!B:B,"COU")</f>
        <v>0</v>
      </c>
      <c r="S32" s="7">
        <f t="shared" ref="S32" si="98">R32/R$3</f>
        <v>0</v>
      </c>
      <c r="T32" s="2">
        <f>COUNTIFS(Crewmanifest!F:F,'Speziesanteile nach Abteilungen'!A32,Crewmanifest!H:H,"Ja",Crewmanifest!B:B,"Zivilist")+COUNTIFS(Crewmanifest!G:G,'Speziesanteile nach Abteilungen'!A32,Crewmanifest!H:H,"Ja",Crewmanifest!B:B,"Zivilist")</f>
        <v>0</v>
      </c>
      <c r="U32" s="7">
        <f t="shared" ref="U32" si="99">T32/T$3</f>
        <v>0</v>
      </c>
    </row>
    <row r="33" spans="1:21">
      <c r="A33" s="2" t="s">
        <v>55</v>
      </c>
      <c r="B33" s="2">
        <f>COUNTIFS(Crewmanifest!F:F,'Speziesanteile nach Abteilungen'!A33,Crewmanifest!H:H,"Ja")+COUNTIFS(Crewmanifest!G:G,'Speziesanteile nach Abteilungen'!A33,Crewmanifest!H:H,"Ja")</f>
        <v>2</v>
      </c>
      <c r="C33" s="7">
        <f t="shared" si="36"/>
        <v>2.0618556701030927E-2</v>
      </c>
      <c r="D33" s="2">
        <f>COUNTIFS(Crewmanifest!F:F,'Speziesanteile nach Abteilungen'!A33,Crewmanifest!H:H,"Ja",Crewmanifest!B:B,"CMD")+COUNTIFS(Crewmanifest!G:G,'Speziesanteile nach Abteilungen'!A33,Crewmanifest!H:H,"Ja",Crewmanifest!B:B,"CMD")</f>
        <v>0</v>
      </c>
      <c r="E33" s="7">
        <f t="shared" si="36"/>
        <v>0</v>
      </c>
      <c r="F33" s="2">
        <f>COUNTIFS(Crewmanifest!F:F,'Speziesanteile nach Abteilungen'!A33,Crewmanifest!H:H,"Ja",Crewmanifest!B:B,"CON")+COUNTIFS(Crewmanifest!G:G,'Speziesanteile nach Abteilungen'!A33,Crewmanifest!H:H,"Ja",Crewmanifest!B:B,"CON")</f>
        <v>0</v>
      </c>
      <c r="G33" s="7">
        <f t="shared" ref="G33:I33" si="100">F33/F$3</f>
        <v>0</v>
      </c>
      <c r="H33" s="2">
        <f>COUNTIFS(Crewmanifest!F:F,'Speziesanteile nach Abteilungen'!A33,Crewmanifest!H:H,"Ja",Crewmanifest!B:B,"OPS")+COUNTIFS(Crewmanifest!G:G,'Speziesanteile nach Abteilungen'!A33,Crewmanifest!H:H,"Ja",Crewmanifest!B:B,"OPS")</f>
        <v>1</v>
      </c>
      <c r="I33" s="7">
        <f t="shared" si="100"/>
        <v>0.1111111111111111</v>
      </c>
      <c r="J33" s="2">
        <f>COUNTIFS(Crewmanifest!F:F,'Speziesanteile nach Abteilungen'!A33,Crewmanifest!H:H,"Ja",Crewmanifest!B:B,"SEC")+COUNTIFS(Crewmanifest!G:G,'Speziesanteile nach Abteilungen'!A33,Crewmanifest!H:H,"Ja",Crewmanifest!B:B,"SEC")</f>
        <v>0</v>
      </c>
      <c r="K33" s="7">
        <f t="shared" ref="K33" si="101">J33/J$3</f>
        <v>0</v>
      </c>
      <c r="L33" s="2">
        <f>COUNTIFS(Crewmanifest!F:F,'Speziesanteile nach Abteilungen'!A33,Crewmanifest!H:H,"Ja",Crewmanifest!B:B,"ENG")+COUNTIFS(Crewmanifest!G:G,'Speziesanteile nach Abteilungen'!A33,Crewmanifest!H:H,"Ja",Crewmanifest!B:B,"ENG")</f>
        <v>1</v>
      </c>
      <c r="M33" s="7">
        <f t="shared" ref="M33" si="102">L33/L$3</f>
        <v>5.5555555555555552E-2</v>
      </c>
      <c r="N33" s="2">
        <f>COUNTIFS(Crewmanifest!F:F,'Speziesanteile nach Abteilungen'!A33,Crewmanifest!H:H,"Ja",Crewmanifest!B:B,"MED")+COUNTIFS(Crewmanifest!G:G,'Speziesanteile nach Abteilungen'!A33,Crewmanifest!H:H,"Ja",Crewmanifest!B:B,"MED")</f>
        <v>0</v>
      </c>
      <c r="O33" s="7">
        <f t="shared" ref="O33" si="103">N33/N$3</f>
        <v>0</v>
      </c>
      <c r="P33" s="2">
        <f>COUNTIFS(Crewmanifest!F:F,'Speziesanteile nach Abteilungen'!A33,Crewmanifest!H:H,"Ja",Crewmanifest!B:B,"SCI")+COUNTIFS(Crewmanifest!G:G,'Speziesanteile nach Abteilungen'!A33,Crewmanifest!H:H,"Ja",Crewmanifest!B:B,"SCI")</f>
        <v>0</v>
      </c>
      <c r="Q33" s="7">
        <f t="shared" ref="Q33" si="104">P33/P$3</f>
        <v>0</v>
      </c>
      <c r="R33" s="2">
        <f>COUNTIFS(Crewmanifest!F:F,'Speziesanteile nach Abteilungen'!A33,Crewmanifest!H:H,"Ja",Crewmanifest!B:B,"COU")+COUNTIFS(Crewmanifest!G:G,'Speziesanteile nach Abteilungen'!A33,Crewmanifest!H:H,"Ja",Crewmanifest!B:B,"COU")</f>
        <v>0</v>
      </c>
      <c r="S33" s="7">
        <f t="shared" ref="S33" si="105">R33/R$3</f>
        <v>0</v>
      </c>
      <c r="T33" s="2">
        <f>COUNTIFS(Crewmanifest!F:F,'Speziesanteile nach Abteilungen'!A33,Crewmanifest!H:H,"Ja",Crewmanifest!B:B,"Zivilist")+COUNTIFS(Crewmanifest!G:G,'Speziesanteile nach Abteilungen'!A33,Crewmanifest!H:H,"Ja",Crewmanifest!B:B,"Zivilist")</f>
        <v>0</v>
      </c>
      <c r="U33" s="7">
        <f t="shared" ref="U33" si="106">T33/T$3</f>
        <v>0</v>
      </c>
    </row>
    <row r="34" spans="1:21">
      <c r="C34" s="5"/>
      <c r="O34" s="9"/>
      <c r="Q34" s="9"/>
      <c r="S34" s="9"/>
      <c r="U34" s="9"/>
    </row>
    <row r="35" spans="1:21">
      <c r="O35" s="9"/>
      <c r="Q35" s="9"/>
      <c r="S35" s="9"/>
      <c r="U35" s="9"/>
    </row>
    <row r="36" spans="1:21">
      <c r="C36" s="5"/>
      <c r="O36" s="9"/>
      <c r="Q36" s="9"/>
      <c r="S36" s="9"/>
      <c r="U36" s="9"/>
    </row>
    <row r="37" spans="1:21">
      <c r="C37" s="5"/>
      <c r="O37" s="9"/>
      <c r="Q37" s="9"/>
      <c r="S37" s="9"/>
      <c r="U37" s="9"/>
    </row>
    <row r="38" spans="1:21">
      <c r="C38" s="5"/>
      <c r="S38" s="9"/>
      <c r="U38" s="9"/>
    </row>
    <row r="39" spans="1:21">
      <c r="C39" s="5"/>
      <c r="S39" s="9"/>
      <c r="U39" s="9"/>
    </row>
    <row r="40" spans="1:21">
      <c r="C40" s="5"/>
    </row>
    <row r="41" spans="1:21">
      <c r="C41" s="5"/>
    </row>
    <row r="42" spans="1:21">
      <c r="C42" s="5"/>
    </row>
    <row r="43" spans="1:21">
      <c r="C43" s="5"/>
    </row>
    <row r="44" spans="1:21">
      <c r="C44" s="5"/>
    </row>
    <row r="45" spans="1:21">
      <c r="C45" s="5"/>
    </row>
    <row r="46" spans="1:21">
      <c r="C46" s="5"/>
    </row>
    <row r="47" spans="1:21">
      <c r="C47" s="5"/>
    </row>
    <row r="48" spans="1:21">
      <c r="C48" s="5"/>
    </row>
    <row r="49" spans="3:3">
      <c r="C49" s="5"/>
    </row>
  </sheetData>
  <mergeCells count="10">
    <mergeCell ref="T1:U1"/>
    <mergeCell ref="B1:C1"/>
    <mergeCell ref="D1:E1"/>
    <mergeCell ref="F1:G1"/>
    <mergeCell ref="R1:S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I44" sqref="I44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>
      <selection activeCell="B4" sqref="B4:B16"/>
    </sheetView>
  </sheetViews>
  <sheetFormatPr baseColWidth="10" defaultRowHeight="15"/>
  <cols>
    <col min="1" max="1" width="14" bestFit="1" customWidth="1"/>
  </cols>
  <sheetData>
    <row r="1" spans="1:29">
      <c r="A1" s="4" t="s">
        <v>2</v>
      </c>
      <c r="B1" s="15" t="s">
        <v>177</v>
      </c>
      <c r="C1" s="15"/>
      <c r="D1" s="16" t="s">
        <v>178</v>
      </c>
      <c r="E1" s="16"/>
      <c r="F1" s="16" t="s">
        <v>42</v>
      </c>
      <c r="G1" s="16"/>
      <c r="H1" s="16" t="s">
        <v>91</v>
      </c>
      <c r="I1" s="16"/>
      <c r="K1" s="15" t="s">
        <v>15</v>
      </c>
      <c r="L1" s="15"/>
      <c r="M1" s="15" t="s">
        <v>16</v>
      </c>
      <c r="N1" s="15"/>
      <c r="O1" s="16" t="s">
        <v>20</v>
      </c>
      <c r="P1" s="16"/>
      <c r="Q1" s="16" t="s">
        <v>17</v>
      </c>
      <c r="R1" s="16"/>
      <c r="S1" s="16" t="s">
        <v>23</v>
      </c>
      <c r="T1" s="16"/>
      <c r="U1" s="16" t="s">
        <v>25</v>
      </c>
      <c r="V1" s="16"/>
      <c r="X1" s="16" t="s">
        <v>69</v>
      </c>
      <c r="Y1" s="16"/>
      <c r="Z1" s="16" t="s">
        <v>37</v>
      </c>
      <c r="AA1" s="16"/>
      <c r="AB1" s="16" t="s">
        <v>39</v>
      </c>
      <c r="AC1" s="16"/>
    </row>
    <row r="2" spans="1:29">
      <c r="A2" s="1"/>
      <c r="B2" s="1" t="s">
        <v>66</v>
      </c>
      <c r="C2" s="1" t="s">
        <v>65</v>
      </c>
      <c r="D2" s="1" t="s">
        <v>66</v>
      </c>
      <c r="E2" s="1" t="s">
        <v>65</v>
      </c>
      <c r="F2" s="1" t="s">
        <v>66</v>
      </c>
      <c r="G2" s="1" t="s">
        <v>65</v>
      </c>
      <c r="H2" s="1" t="s">
        <v>66</v>
      </c>
      <c r="I2" s="1" t="s">
        <v>65</v>
      </c>
      <c r="K2" s="1" t="s">
        <v>66</v>
      </c>
      <c r="L2" s="1" t="s">
        <v>65</v>
      </c>
      <c r="M2" s="1" t="s">
        <v>66</v>
      </c>
      <c r="N2" s="1" t="s">
        <v>65</v>
      </c>
      <c r="O2" s="1" t="s">
        <v>66</v>
      </c>
      <c r="P2" s="1" t="s">
        <v>65</v>
      </c>
      <c r="Q2" s="1" t="s">
        <v>66</v>
      </c>
      <c r="R2" s="1" t="s">
        <v>65</v>
      </c>
      <c r="S2" s="1" t="s">
        <v>66</v>
      </c>
      <c r="T2" s="1" t="s">
        <v>65</v>
      </c>
      <c r="U2" s="1" t="s">
        <v>66</v>
      </c>
      <c r="V2" s="1" t="s">
        <v>65</v>
      </c>
      <c r="X2" s="1" t="s">
        <v>66</v>
      </c>
      <c r="Y2" s="1" t="s">
        <v>65</v>
      </c>
      <c r="Z2" s="1" t="s">
        <v>66</v>
      </c>
      <c r="AA2" s="1" t="s">
        <v>65</v>
      </c>
      <c r="AB2" s="1" t="s">
        <v>66</v>
      </c>
      <c r="AC2" s="1" t="s">
        <v>65</v>
      </c>
    </row>
    <row r="3" spans="1:29">
      <c r="A3" s="1" t="s">
        <v>54</v>
      </c>
      <c r="B3" s="1">
        <f t="shared" ref="B3:B16" si="0">SUM(K3,M3,O3,S3,U3)</f>
        <v>20</v>
      </c>
      <c r="C3" s="7">
        <f>B3/B$3</f>
        <v>1</v>
      </c>
      <c r="D3" s="1">
        <f t="shared" ref="D3:D16" si="1">SUM(X3,Z3,AB3)</f>
        <v>39</v>
      </c>
      <c r="E3" s="7">
        <f t="shared" ref="E3:E16" si="2">D3/D$3</f>
        <v>1</v>
      </c>
      <c r="F3" s="1">
        <f>COUNTIF(Crewmanifest!E:E,"CM")</f>
        <v>23</v>
      </c>
      <c r="G3" s="7">
        <f t="shared" ref="G3:G16" si="3">F3/F$3</f>
        <v>1</v>
      </c>
      <c r="H3" s="1">
        <f>COUNTIF(Crewmanifest!E:E,"Kadett")</f>
        <v>2</v>
      </c>
      <c r="I3" s="7">
        <f t="shared" ref="I3:I16" si="4">H3/H$3</f>
        <v>1</v>
      </c>
      <c r="K3" s="1">
        <f>COUNTIF(Crewmanifest!E:E,"Captain")</f>
        <v>1</v>
      </c>
      <c r="L3" s="7">
        <f t="shared" ref="L3:L16" si="5">K3/K$3</f>
        <v>1</v>
      </c>
      <c r="M3" s="1">
        <f>COUNTIF(Crewmanifest!E:E,"Commander")</f>
        <v>1</v>
      </c>
      <c r="N3" s="7">
        <f t="shared" ref="N3:N16" si="6">M3/M$3</f>
        <v>1</v>
      </c>
      <c r="O3" s="1">
        <f>COUNTIF(Crewmanifest!E:E,"Lieutenant Commander")</f>
        <v>2</v>
      </c>
      <c r="P3" s="7">
        <f t="shared" ref="P3:R16" si="7">O3/O$3</f>
        <v>1</v>
      </c>
      <c r="Q3" s="1">
        <f>COUNTIF(Crewmanifest!E:E,"Lieutenant")</f>
        <v>7</v>
      </c>
      <c r="R3" s="7">
        <f t="shared" si="7"/>
        <v>1</v>
      </c>
      <c r="S3" s="1">
        <f>COUNTIF(Crewmanifest!E:E,"Lieutenant JG")</f>
        <v>6</v>
      </c>
      <c r="T3" s="7">
        <f t="shared" ref="T3:T16" si="8">S3/S$3</f>
        <v>1</v>
      </c>
      <c r="U3" s="1">
        <f>COUNTIF(Crewmanifest!E:E,"Ensign")</f>
        <v>10</v>
      </c>
      <c r="V3" s="7">
        <f t="shared" ref="V3:V16" si="9">U3/U$3</f>
        <v>1</v>
      </c>
      <c r="X3" s="1">
        <f>COUNTIF(Crewmanifest!E:E,"MCPO")</f>
        <v>1</v>
      </c>
      <c r="Y3" s="7">
        <f t="shared" ref="Y3:Y16" si="10">X3/X$3</f>
        <v>1</v>
      </c>
      <c r="Z3" s="1">
        <f>COUNTIF(Crewmanifest!E:E,"CPO")</f>
        <v>6</v>
      </c>
      <c r="AA3" s="7">
        <f t="shared" ref="AA3:AA16" si="11">Z3/Z$3</f>
        <v>1</v>
      </c>
      <c r="AB3" s="1">
        <f>COUNTIF(Crewmanifest!E:E,"PO")</f>
        <v>32</v>
      </c>
      <c r="AC3" s="7">
        <f t="shared" ref="AC3:AC16" si="12">AB3/AB$3</f>
        <v>1</v>
      </c>
    </row>
    <row r="4" spans="1:29">
      <c r="A4" s="2" t="s">
        <v>7</v>
      </c>
      <c r="B4" s="1">
        <f>SUM(K4,M4,O4,Q4,S4,U4)</f>
        <v>2</v>
      </c>
      <c r="C4" s="7">
        <f t="shared" ref="C4:C16" si="13">B4/B$3</f>
        <v>0.1</v>
      </c>
      <c r="D4" s="1">
        <f t="shared" si="1"/>
        <v>0</v>
      </c>
      <c r="E4" s="7">
        <f t="shared" si="2"/>
        <v>0</v>
      </c>
      <c r="F4" s="2">
        <f>COUNTIFS(Crewmanifest!F:F,'Speziesanteile nach Rängen'!A4,Crewmanifest!H:H,"",Crewmanifest!E:E,"CM")</f>
        <v>0</v>
      </c>
      <c r="G4" s="7">
        <f t="shared" si="3"/>
        <v>0</v>
      </c>
      <c r="H4" s="2">
        <f>COUNTIFS(Crewmanifest!F:F,'Speziesanteile nach Rängen'!A4,Crewmanifest!H:H,"",Crewmanifest!E:E,"Kadett")</f>
        <v>0</v>
      </c>
      <c r="I4" s="7">
        <f t="shared" si="4"/>
        <v>0</v>
      </c>
      <c r="K4" s="2">
        <f>COUNTIFS(Crewmanifest!F:F,'Speziesanteile nach Rängen'!A4,Crewmanifest!H:H,"",Crewmanifest!E:E,"Captain")</f>
        <v>0</v>
      </c>
      <c r="L4" s="7">
        <f t="shared" si="5"/>
        <v>0</v>
      </c>
      <c r="M4" s="2">
        <f>COUNTIFS(Crewmanifest!F:F,'Speziesanteile nach Rängen'!A4,Crewmanifest!H:H,"",Crewmanifest!E:E,"Commander")</f>
        <v>1</v>
      </c>
      <c r="N4" s="7">
        <f t="shared" si="6"/>
        <v>1</v>
      </c>
      <c r="O4" s="2">
        <f>COUNTIFS(Crewmanifest!F:F,'Speziesanteile nach Rängen'!A4,Crewmanifest!H:H,"",Crewmanifest!E:E,"Lieutenant Commander")</f>
        <v>0</v>
      </c>
      <c r="P4" s="7">
        <f t="shared" si="7"/>
        <v>0</v>
      </c>
      <c r="Q4" s="2">
        <f>COUNTIFS(Crewmanifest!F:F,'Speziesanteile nach Rängen'!A4,Crewmanifest!H:H,"",Crewmanifest!E:E,"Lieutenant")</f>
        <v>0</v>
      </c>
      <c r="R4" s="7">
        <f t="shared" si="7"/>
        <v>0</v>
      </c>
      <c r="S4" s="2">
        <f>COUNTIFS(Crewmanifest!F:F,'Speziesanteile nach Rängen'!A4,Crewmanifest!H:H,"",Crewmanifest!E:E,"Lieutenant JG")</f>
        <v>0</v>
      </c>
      <c r="T4" s="7">
        <f t="shared" si="8"/>
        <v>0</v>
      </c>
      <c r="U4" s="2">
        <f>COUNTIFS(Crewmanifest!F:F,'Speziesanteile nach Rängen'!A4,Crewmanifest!H:H,"",Crewmanifest!E:E,"Ensign")</f>
        <v>1</v>
      </c>
      <c r="V4" s="7">
        <f t="shared" si="9"/>
        <v>0.1</v>
      </c>
      <c r="X4" s="2">
        <f>COUNTIFS(Crewmanifest!F:F,'Speziesanteile nach Rängen'!A4,Crewmanifest!H:H,"",Crewmanifest!E:E,"MCPO")</f>
        <v>0</v>
      </c>
      <c r="Y4" s="7">
        <f t="shared" si="10"/>
        <v>0</v>
      </c>
      <c r="Z4" s="2">
        <f>COUNTIFS(Crewmanifest!F:F,'Speziesanteile nach Rängen'!A4,Crewmanifest!H:H,"",Crewmanifest!E:E,"CPO")</f>
        <v>0</v>
      </c>
      <c r="AA4" s="7">
        <f t="shared" si="11"/>
        <v>0</v>
      </c>
      <c r="AB4" s="2">
        <f>COUNTIFS(Crewmanifest!F:F,'Speziesanteile nach Rängen'!A4,Crewmanifest!H:H,"",Crewmanifest!E:E,"PO")</f>
        <v>0</v>
      </c>
      <c r="AC4" s="7">
        <f t="shared" si="12"/>
        <v>0</v>
      </c>
    </row>
    <row r="5" spans="1:29">
      <c r="A5" s="2" t="s">
        <v>168</v>
      </c>
      <c r="B5" s="1">
        <f t="shared" ref="B5:B16" si="14">SUM(K5,M5,O5,Q5,S5,U5)</f>
        <v>1</v>
      </c>
      <c r="C5" s="7">
        <f t="shared" si="13"/>
        <v>0.05</v>
      </c>
      <c r="D5" s="1">
        <f t="shared" si="1"/>
        <v>1</v>
      </c>
      <c r="E5" s="7">
        <f t="shared" si="2"/>
        <v>2.564102564102564E-2</v>
      </c>
      <c r="F5" s="2">
        <f>COUNTIFS(Crewmanifest!F:F,'Speziesanteile nach Rängen'!A5,Crewmanifest!H:H,"",Crewmanifest!E:E,"CM")</f>
        <v>0</v>
      </c>
      <c r="G5" s="7">
        <f t="shared" si="3"/>
        <v>0</v>
      </c>
      <c r="H5" s="2">
        <f>COUNTIFS(Crewmanifest!F:F,'Speziesanteile nach Rängen'!A5,Crewmanifest!H:H,"",Crewmanifest!E:E,"Kadett")</f>
        <v>0</v>
      </c>
      <c r="I5" s="7">
        <f t="shared" si="4"/>
        <v>0</v>
      </c>
      <c r="K5" s="2">
        <f>COUNTIFS(Crewmanifest!F:F,'Speziesanteile nach Rängen'!A5,Crewmanifest!H:H,"",Crewmanifest!E:E,"Captain")</f>
        <v>0</v>
      </c>
      <c r="L5" s="7">
        <f t="shared" si="5"/>
        <v>0</v>
      </c>
      <c r="M5" s="2">
        <f>COUNTIFS(Crewmanifest!F:F,'Speziesanteile nach Rängen'!A5,Crewmanifest!H:H,"",Crewmanifest!E:E,"Commander")</f>
        <v>0</v>
      </c>
      <c r="N5" s="7">
        <f t="shared" si="6"/>
        <v>0</v>
      </c>
      <c r="O5" s="2">
        <f>COUNTIFS(Crewmanifest!F:F,'Speziesanteile nach Rängen'!A5,Crewmanifest!H:H,"",Crewmanifest!E:E,"Lieutenant Commander")</f>
        <v>0</v>
      </c>
      <c r="P5" s="7">
        <f t="shared" si="7"/>
        <v>0</v>
      </c>
      <c r="Q5" s="2">
        <f>COUNTIFS(Crewmanifest!F:F,'Speziesanteile nach Rängen'!A5,Crewmanifest!H:H,"",Crewmanifest!E:E,"Lieutenant")</f>
        <v>1</v>
      </c>
      <c r="R5" s="7">
        <f t="shared" si="7"/>
        <v>0.14285714285714285</v>
      </c>
      <c r="S5" s="2">
        <f>COUNTIFS(Crewmanifest!F:F,'Speziesanteile nach Rängen'!A5,Crewmanifest!H:H,"",Crewmanifest!E:E,"Lieutenant JG")</f>
        <v>0</v>
      </c>
      <c r="T5" s="7">
        <f t="shared" si="8"/>
        <v>0</v>
      </c>
      <c r="U5" s="2">
        <f>COUNTIFS(Crewmanifest!F:F,'Speziesanteile nach Rängen'!A5,Crewmanifest!H:H,"",Crewmanifest!E:E,"Ensign")</f>
        <v>0</v>
      </c>
      <c r="V5" s="7">
        <f t="shared" si="9"/>
        <v>0</v>
      </c>
      <c r="X5" s="2">
        <f>COUNTIFS(Crewmanifest!F:F,'Speziesanteile nach Rängen'!A5,Crewmanifest!H:H,"",Crewmanifest!E:E,"MCPO")</f>
        <v>0</v>
      </c>
      <c r="Y5" s="7">
        <f t="shared" si="10"/>
        <v>0</v>
      </c>
      <c r="Z5" s="2">
        <f>COUNTIFS(Crewmanifest!F:F,'Speziesanteile nach Rängen'!A5,Crewmanifest!H:H,"",Crewmanifest!E:E,"CPO")</f>
        <v>0</v>
      </c>
      <c r="AA5" s="7">
        <f t="shared" si="11"/>
        <v>0</v>
      </c>
      <c r="AB5" s="2">
        <f>COUNTIFS(Crewmanifest!F:F,'Speziesanteile nach Rängen'!A5,Crewmanifest!H:H,"",Crewmanifest!E:E,"PO")</f>
        <v>1</v>
      </c>
      <c r="AC5" s="7">
        <f t="shared" si="12"/>
        <v>3.125E-2</v>
      </c>
    </row>
    <row r="6" spans="1:29">
      <c r="A6" s="2" t="s">
        <v>62</v>
      </c>
      <c r="B6" s="1">
        <f t="shared" si="14"/>
        <v>1</v>
      </c>
      <c r="C6" s="7">
        <f t="shared" si="13"/>
        <v>0.05</v>
      </c>
      <c r="D6" s="1">
        <f t="shared" si="1"/>
        <v>0</v>
      </c>
      <c r="E6" s="7">
        <f t="shared" si="2"/>
        <v>0</v>
      </c>
      <c r="F6" s="2">
        <f>COUNTIFS(Crewmanifest!F:F,'Speziesanteile nach Rängen'!A6,Crewmanifest!H:H,"",Crewmanifest!E:E,"CM")</f>
        <v>1</v>
      </c>
      <c r="G6" s="7">
        <f t="shared" si="3"/>
        <v>4.3478260869565216E-2</v>
      </c>
      <c r="H6" s="2">
        <f>COUNTIFS(Crewmanifest!F:F,'Speziesanteile nach Rängen'!A6,Crewmanifest!H:H,"",Crewmanifest!E:E,"Kadett")</f>
        <v>0</v>
      </c>
      <c r="I6" s="7">
        <f t="shared" si="4"/>
        <v>0</v>
      </c>
      <c r="K6" s="2">
        <f>COUNTIFS(Crewmanifest!F:F,'Speziesanteile nach Rängen'!A6,Crewmanifest!H:H,"",Crewmanifest!E:E,"Captain")</f>
        <v>0</v>
      </c>
      <c r="L6" s="7">
        <f t="shared" si="5"/>
        <v>0</v>
      </c>
      <c r="M6" s="2">
        <f>COUNTIFS(Crewmanifest!F:F,'Speziesanteile nach Rängen'!A6,Crewmanifest!H:H,"",Crewmanifest!E:E,"Commander")</f>
        <v>0</v>
      </c>
      <c r="N6" s="7">
        <f t="shared" si="6"/>
        <v>0</v>
      </c>
      <c r="O6" s="2">
        <f>COUNTIFS(Crewmanifest!F:F,'Speziesanteile nach Rängen'!A6,Crewmanifest!H:H,"",Crewmanifest!E:E,"Lieutenant Commander")</f>
        <v>0</v>
      </c>
      <c r="P6" s="7">
        <f t="shared" si="7"/>
        <v>0</v>
      </c>
      <c r="Q6" s="2">
        <f>COUNTIFS(Crewmanifest!F:F,'Speziesanteile nach Rängen'!A6,Crewmanifest!H:H,"",Crewmanifest!E:E,"Lieutenant")</f>
        <v>0</v>
      </c>
      <c r="R6" s="7">
        <f t="shared" si="7"/>
        <v>0</v>
      </c>
      <c r="S6" s="2">
        <f>COUNTIFS(Crewmanifest!F:F,'Speziesanteile nach Rängen'!A6,Crewmanifest!H:H,"",Crewmanifest!E:E,"Lieutenant JG")</f>
        <v>1</v>
      </c>
      <c r="T6" s="7">
        <f t="shared" si="8"/>
        <v>0.16666666666666666</v>
      </c>
      <c r="U6" s="2">
        <f>COUNTIFS(Crewmanifest!F:F,'Speziesanteile nach Rängen'!A6,Crewmanifest!H:H,"",Crewmanifest!E:E,"Ensign")</f>
        <v>0</v>
      </c>
      <c r="V6" s="7">
        <f t="shared" si="9"/>
        <v>0</v>
      </c>
      <c r="X6" s="2">
        <f>COUNTIFS(Crewmanifest!F:F,'Speziesanteile nach Rängen'!A6,Crewmanifest!H:H,"",Crewmanifest!E:E,"MCPO")</f>
        <v>0</v>
      </c>
      <c r="Y6" s="7">
        <f t="shared" si="10"/>
        <v>0</v>
      </c>
      <c r="Z6" s="2">
        <f>COUNTIFS(Crewmanifest!F:F,'Speziesanteile nach Rängen'!A6,Crewmanifest!H:H,"",Crewmanifest!E:E,"CPO")</f>
        <v>0</v>
      </c>
      <c r="AA6" s="7">
        <f t="shared" si="11"/>
        <v>0</v>
      </c>
      <c r="AB6" s="2">
        <f>COUNTIFS(Crewmanifest!F:F,'Speziesanteile nach Rängen'!A6,Crewmanifest!H:H,"",Crewmanifest!E:E,"PO")</f>
        <v>0</v>
      </c>
      <c r="AC6" s="7">
        <f t="shared" si="12"/>
        <v>0</v>
      </c>
    </row>
    <row r="7" spans="1:29">
      <c r="A7" s="2" t="s">
        <v>175</v>
      </c>
      <c r="B7" s="1">
        <f t="shared" si="14"/>
        <v>0</v>
      </c>
      <c r="C7" s="7">
        <f t="shared" si="13"/>
        <v>0</v>
      </c>
      <c r="D7" s="1">
        <f t="shared" si="1"/>
        <v>1</v>
      </c>
      <c r="E7" s="7">
        <f t="shared" si="2"/>
        <v>2.564102564102564E-2</v>
      </c>
      <c r="F7" s="2">
        <f>COUNTIFS(Crewmanifest!F:F,'Speziesanteile nach Rängen'!A7,Crewmanifest!H:H,"",Crewmanifest!E:E,"CM")</f>
        <v>0</v>
      </c>
      <c r="G7" s="7">
        <f t="shared" si="3"/>
        <v>0</v>
      </c>
      <c r="H7" s="2">
        <f>COUNTIFS(Crewmanifest!F:F,'Speziesanteile nach Rängen'!A7,Crewmanifest!H:H,"",Crewmanifest!E:E,"Kadett")</f>
        <v>0</v>
      </c>
      <c r="I7" s="7">
        <f t="shared" si="4"/>
        <v>0</v>
      </c>
      <c r="K7" s="2">
        <f>COUNTIFS(Crewmanifest!F:F,'Speziesanteile nach Rängen'!A7,Crewmanifest!H:H,"",Crewmanifest!E:E,"Captain")</f>
        <v>0</v>
      </c>
      <c r="L7" s="7">
        <f t="shared" si="5"/>
        <v>0</v>
      </c>
      <c r="M7" s="2">
        <f>COUNTIFS(Crewmanifest!F:F,'Speziesanteile nach Rängen'!A7,Crewmanifest!H:H,"",Crewmanifest!E:E,"Commander")</f>
        <v>0</v>
      </c>
      <c r="N7" s="7">
        <f t="shared" si="6"/>
        <v>0</v>
      </c>
      <c r="O7" s="2">
        <f>COUNTIFS(Crewmanifest!F:F,'Speziesanteile nach Rängen'!A7,Crewmanifest!H:H,"",Crewmanifest!E:E,"Lieutenant Commander")</f>
        <v>0</v>
      </c>
      <c r="P7" s="7">
        <f t="shared" si="7"/>
        <v>0</v>
      </c>
      <c r="Q7" s="2">
        <f>COUNTIFS(Crewmanifest!F:F,'Speziesanteile nach Rängen'!A7,Crewmanifest!H:H,"",Crewmanifest!E:E,"Lieutenant")</f>
        <v>0</v>
      </c>
      <c r="R7" s="7">
        <f t="shared" si="7"/>
        <v>0</v>
      </c>
      <c r="S7" s="2">
        <f>COUNTIFS(Crewmanifest!F:F,'Speziesanteile nach Rängen'!A7,Crewmanifest!H:H,"",Crewmanifest!E:E,"Lieutenant JG")</f>
        <v>0</v>
      </c>
      <c r="T7" s="7">
        <f t="shared" si="8"/>
        <v>0</v>
      </c>
      <c r="U7" s="2">
        <f>COUNTIFS(Crewmanifest!F:F,'Speziesanteile nach Rängen'!A7,Crewmanifest!H:H,"",Crewmanifest!E:E,"Ensign")</f>
        <v>0</v>
      </c>
      <c r="V7" s="7">
        <f t="shared" si="9"/>
        <v>0</v>
      </c>
      <c r="X7" s="2">
        <f>COUNTIFS(Crewmanifest!F:F,'Speziesanteile nach Rängen'!A7,Crewmanifest!H:H,"",Crewmanifest!E:E,"MCPO")</f>
        <v>0</v>
      </c>
      <c r="Y7" s="7">
        <f t="shared" si="10"/>
        <v>0</v>
      </c>
      <c r="Z7" s="2">
        <f>COUNTIFS(Crewmanifest!F:F,'Speziesanteile nach Rängen'!A7,Crewmanifest!H:H,"",Crewmanifest!E:E,"CPO")</f>
        <v>0</v>
      </c>
      <c r="AA7" s="7">
        <f t="shared" si="11"/>
        <v>0</v>
      </c>
      <c r="AB7" s="2">
        <f>COUNTIFS(Crewmanifest!F:F,'Speziesanteile nach Rängen'!A7,Crewmanifest!H:H,"",Crewmanifest!E:E,"PO")</f>
        <v>1</v>
      </c>
      <c r="AC7" s="7">
        <f t="shared" si="12"/>
        <v>3.125E-2</v>
      </c>
    </row>
    <row r="8" spans="1:29">
      <c r="A8" s="2" t="s">
        <v>165</v>
      </c>
      <c r="B8" s="1">
        <f t="shared" si="14"/>
        <v>0</v>
      </c>
      <c r="C8" s="7">
        <f t="shared" si="13"/>
        <v>0</v>
      </c>
      <c r="D8" s="1">
        <f t="shared" si="1"/>
        <v>1</v>
      </c>
      <c r="E8" s="7">
        <f t="shared" si="2"/>
        <v>2.564102564102564E-2</v>
      </c>
      <c r="F8" s="2">
        <f>COUNTIFS(Crewmanifest!F:F,'Speziesanteile nach Rängen'!A8,Crewmanifest!H:H,"",Crewmanifest!E:E,"CM")</f>
        <v>0</v>
      </c>
      <c r="G8" s="7">
        <f t="shared" si="3"/>
        <v>0</v>
      </c>
      <c r="H8" s="2">
        <f>COUNTIFS(Crewmanifest!F:F,'Speziesanteile nach Rängen'!A8,Crewmanifest!H:H,"",Crewmanifest!E:E,"Kadett")</f>
        <v>0</v>
      </c>
      <c r="I8" s="7">
        <f t="shared" si="4"/>
        <v>0</v>
      </c>
      <c r="K8" s="2">
        <f>COUNTIFS(Crewmanifest!F:F,'Speziesanteile nach Rängen'!A8,Crewmanifest!H:H,"",Crewmanifest!E:E,"Captain")</f>
        <v>0</v>
      </c>
      <c r="L8" s="7">
        <f t="shared" si="5"/>
        <v>0</v>
      </c>
      <c r="M8" s="2">
        <f>COUNTIFS(Crewmanifest!F:F,'Speziesanteile nach Rängen'!A8,Crewmanifest!H:H,"",Crewmanifest!E:E,"Commander")</f>
        <v>0</v>
      </c>
      <c r="N8" s="7">
        <f t="shared" si="6"/>
        <v>0</v>
      </c>
      <c r="O8" s="2">
        <f>COUNTIFS(Crewmanifest!F:F,'Speziesanteile nach Rängen'!A8,Crewmanifest!H:H,"",Crewmanifest!E:E,"Lieutenant Commander")</f>
        <v>0</v>
      </c>
      <c r="P8" s="7">
        <f t="shared" si="7"/>
        <v>0</v>
      </c>
      <c r="Q8" s="2">
        <f>COUNTIFS(Crewmanifest!F:F,'Speziesanteile nach Rängen'!A8,Crewmanifest!H:H,"",Crewmanifest!E:E,"Lieutenant")</f>
        <v>0</v>
      </c>
      <c r="R8" s="7">
        <f t="shared" si="7"/>
        <v>0</v>
      </c>
      <c r="S8" s="2">
        <f>COUNTIFS(Crewmanifest!F:F,'Speziesanteile nach Rängen'!A8,Crewmanifest!H:H,"",Crewmanifest!E:E,"Lieutenant JG")</f>
        <v>0</v>
      </c>
      <c r="T8" s="7">
        <f t="shared" si="8"/>
        <v>0</v>
      </c>
      <c r="U8" s="2">
        <f>COUNTIFS(Crewmanifest!F:F,'Speziesanteile nach Rängen'!A8,Crewmanifest!H:H,"",Crewmanifest!E:E,"Ensign")</f>
        <v>0</v>
      </c>
      <c r="V8" s="7">
        <f t="shared" si="9"/>
        <v>0</v>
      </c>
      <c r="X8" s="2">
        <f>COUNTIFS(Crewmanifest!F:F,'Speziesanteile nach Rängen'!A8,Crewmanifest!H:H,"",Crewmanifest!E:E,"MCPO")</f>
        <v>0</v>
      </c>
      <c r="Y8" s="7">
        <f t="shared" si="10"/>
        <v>0</v>
      </c>
      <c r="Z8" s="2">
        <f>COUNTIFS(Crewmanifest!F:F,'Speziesanteile nach Rängen'!A8,Crewmanifest!H:H,"",Crewmanifest!E:E,"CPO")</f>
        <v>0</v>
      </c>
      <c r="AA8" s="7">
        <f t="shared" si="11"/>
        <v>0</v>
      </c>
      <c r="AB8" s="2">
        <f>COUNTIFS(Crewmanifest!F:F,'Speziesanteile nach Rängen'!A8,Crewmanifest!H:H,"",Crewmanifest!E:E,"PO")</f>
        <v>1</v>
      </c>
      <c r="AC8" s="7">
        <f t="shared" si="12"/>
        <v>3.125E-2</v>
      </c>
    </row>
    <row r="9" spans="1:29">
      <c r="A9" s="2" t="s">
        <v>13</v>
      </c>
      <c r="B9" s="1">
        <f t="shared" si="14"/>
        <v>13</v>
      </c>
      <c r="C9" s="7">
        <f t="shared" si="13"/>
        <v>0.65</v>
      </c>
      <c r="D9" s="1">
        <f t="shared" si="1"/>
        <v>18</v>
      </c>
      <c r="E9" s="7">
        <f t="shared" si="2"/>
        <v>0.46153846153846156</v>
      </c>
      <c r="F9" s="2">
        <f>COUNTIFS(Crewmanifest!F:F,'Speziesanteile nach Rängen'!A9,Crewmanifest!H:H,"",Crewmanifest!E:E,"CM")</f>
        <v>14</v>
      </c>
      <c r="G9" s="7">
        <f t="shared" si="3"/>
        <v>0.60869565217391308</v>
      </c>
      <c r="H9" s="2">
        <f>COUNTIFS(Crewmanifest!F:F,'Speziesanteile nach Rängen'!A9,Crewmanifest!H:H,"",Crewmanifest!E:E,"Kadett")</f>
        <v>2</v>
      </c>
      <c r="I9" s="7">
        <f t="shared" si="4"/>
        <v>1</v>
      </c>
      <c r="K9" s="2">
        <f>COUNTIFS(Crewmanifest!F:F,'Speziesanteile nach Rängen'!A9,Crewmanifest!H:H,"",Crewmanifest!E:E,"Captain")</f>
        <v>0</v>
      </c>
      <c r="L9" s="7">
        <f t="shared" si="5"/>
        <v>0</v>
      </c>
      <c r="M9" s="2">
        <f>COUNTIFS(Crewmanifest!F:F,'Speziesanteile nach Rängen'!A9,Crewmanifest!H:H,"",Crewmanifest!E:E,"Commander")</f>
        <v>0</v>
      </c>
      <c r="N9" s="7">
        <f t="shared" si="6"/>
        <v>0</v>
      </c>
      <c r="O9" s="2">
        <f>COUNTIFS(Crewmanifest!F:F,'Speziesanteile nach Rängen'!A9,Crewmanifest!H:H,"",Crewmanifest!E:E,"Lieutenant Commander")</f>
        <v>1</v>
      </c>
      <c r="P9" s="7">
        <f t="shared" si="7"/>
        <v>0.5</v>
      </c>
      <c r="Q9" s="2">
        <f>COUNTIFS(Crewmanifest!F:F,'Speziesanteile nach Rängen'!A9,Crewmanifest!H:H,"",Crewmanifest!E:E,"Lieutenant")</f>
        <v>3</v>
      </c>
      <c r="R9" s="7">
        <f t="shared" si="7"/>
        <v>0.42857142857142855</v>
      </c>
      <c r="S9" s="2">
        <f>COUNTIFS(Crewmanifest!F:F,'Speziesanteile nach Rängen'!A9,Crewmanifest!H:H,"",Crewmanifest!E:E,"Lieutenant JG")</f>
        <v>3</v>
      </c>
      <c r="T9" s="7">
        <f t="shared" si="8"/>
        <v>0.5</v>
      </c>
      <c r="U9" s="2">
        <f>COUNTIFS(Crewmanifest!F:F,'Speziesanteile nach Rängen'!A9,Crewmanifest!H:H,"",Crewmanifest!E:E,"Ensign")</f>
        <v>6</v>
      </c>
      <c r="V9" s="7">
        <f t="shared" si="9"/>
        <v>0.6</v>
      </c>
      <c r="X9" s="2">
        <f>COUNTIFS(Crewmanifest!F:F,'Speziesanteile nach Rängen'!A9,Crewmanifest!H:H,"",Crewmanifest!E:E,"MCPO")</f>
        <v>1</v>
      </c>
      <c r="Y9" s="7">
        <f t="shared" si="10"/>
        <v>1</v>
      </c>
      <c r="Z9" s="2">
        <f>COUNTIFS(Crewmanifest!F:F,'Speziesanteile nach Rängen'!A9,Crewmanifest!H:H,"",Crewmanifest!E:E,"CPO")</f>
        <v>4</v>
      </c>
      <c r="AA9" s="7">
        <f t="shared" si="11"/>
        <v>0.66666666666666663</v>
      </c>
      <c r="AB9" s="2">
        <f>COUNTIFS(Crewmanifest!F:F,'Speziesanteile nach Rängen'!A9,Crewmanifest!H:H,"",Crewmanifest!E:E,"PO")</f>
        <v>13</v>
      </c>
      <c r="AC9" s="7">
        <f t="shared" si="12"/>
        <v>0.40625</v>
      </c>
    </row>
    <row r="10" spans="1:29">
      <c r="A10" s="2" t="s">
        <v>174</v>
      </c>
      <c r="B10" s="1">
        <f t="shared" si="14"/>
        <v>1</v>
      </c>
      <c r="C10" s="7">
        <f t="shared" si="13"/>
        <v>0.05</v>
      </c>
      <c r="D10" s="1">
        <f t="shared" si="1"/>
        <v>0</v>
      </c>
      <c r="E10" s="7">
        <f t="shared" si="2"/>
        <v>0</v>
      </c>
      <c r="F10" s="2">
        <f>COUNTIFS(Crewmanifest!F:F,'Speziesanteile nach Rängen'!A10,Crewmanifest!H:H,"",Crewmanifest!E:E,"CM")</f>
        <v>0</v>
      </c>
      <c r="G10" s="7">
        <f t="shared" si="3"/>
        <v>0</v>
      </c>
      <c r="H10" s="2">
        <f>COUNTIFS(Crewmanifest!F:F,'Speziesanteile nach Rängen'!A10,Crewmanifest!H:H,"",Crewmanifest!E:E,"Kadett")</f>
        <v>0</v>
      </c>
      <c r="I10" s="7">
        <f t="shared" si="4"/>
        <v>0</v>
      </c>
      <c r="K10" s="2">
        <f>COUNTIFS(Crewmanifest!F:F,'Speziesanteile nach Rängen'!A10,Crewmanifest!H:H,"",Crewmanifest!E:E,"Captain")</f>
        <v>0</v>
      </c>
      <c r="L10" s="7">
        <f t="shared" si="5"/>
        <v>0</v>
      </c>
      <c r="M10" s="2">
        <f>COUNTIFS(Crewmanifest!F:F,'Speziesanteile nach Rängen'!A10,Crewmanifest!H:H,"",Crewmanifest!E:E,"Commander")</f>
        <v>0</v>
      </c>
      <c r="N10" s="7">
        <f t="shared" si="6"/>
        <v>0</v>
      </c>
      <c r="O10" s="2">
        <f>COUNTIFS(Crewmanifest!F:F,'Speziesanteile nach Rängen'!A10,Crewmanifest!H:H,"",Crewmanifest!E:E,"Lieutenant Commander")</f>
        <v>0</v>
      </c>
      <c r="P10" s="7">
        <f t="shared" si="7"/>
        <v>0</v>
      </c>
      <c r="Q10" s="2">
        <f>COUNTIFS(Crewmanifest!F:F,'Speziesanteile nach Rängen'!A10,Crewmanifest!H:H,"",Crewmanifest!E:E,"Lieutenant")</f>
        <v>0</v>
      </c>
      <c r="R10" s="7">
        <f t="shared" si="7"/>
        <v>0</v>
      </c>
      <c r="S10" s="2">
        <f>COUNTIFS(Crewmanifest!F:F,'Speziesanteile nach Rängen'!A10,Crewmanifest!H:H,"",Crewmanifest!E:E,"Lieutenant JG")</f>
        <v>0</v>
      </c>
      <c r="T10" s="7">
        <f t="shared" si="8"/>
        <v>0</v>
      </c>
      <c r="U10" s="2">
        <f>COUNTIFS(Crewmanifest!F:F,'Speziesanteile nach Rängen'!A10,Crewmanifest!H:H,"",Crewmanifest!E:E,"Ensign")</f>
        <v>1</v>
      </c>
      <c r="V10" s="7">
        <f t="shared" si="9"/>
        <v>0.1</v>
      </c>
      <c r="X10" s="2">
        <f>COUNTIFS(Crewmanifest!F:F,'Speziesanteile nach Rängen'!A10,Crewmanifest!H:H,"",Crewmanifest!E:E,"MCPO")</f>
        <v>0</v>
      </c>
      <c r="Y10" s="7">
        <f t="shared" si="10"/>
        <v>0</v>
      </c>
      <c r="Z10" s="2">
        <f>COUNTIFS(Crewmanifest!F:F,'Speziesanteile nach Rängen'!A10,Crewmanifest!H:H,"",Crewmanifest!E:E,"CPO")</f>
        <v>0</v>
      </c>
      <c r="AA10" s="7">
        <f t="shared" si="11"/>
        <v>0</v>
      </c>
      <c r="AB10" s="2">
        <f>COUNTIFS(Crewmanifest!F:F,'Speziesanteile nach Rängen'!A10,Crewmanifest!H:H,"",Crewmanifest!E:E,"PO")</f>
        <v>0</v>
      </c>
      <c r="AC10" s="7">
        <f t="shared" si="12"/>
        <v>0</v>
      </c>
    </row>
    <row r="11" spans="1:29">
      <c r="A11" s="2" t="s">
        <v>4</v>
      </c>
      <c r="B11" s="1">
        <f t="shared" si="14"/>
        <v>1</v>
      </c>
      <c r="C11" s="7">
        <f t="shared" si="13"/>
        <v>0.05</v>
      </c>
      <c r="D11" s="1">
        <f t="shared" si="1"/>
        <v>1</v>
      </c>
      <c r="E11" s="7">
        <f t="shared" si="2"/>
        <v>2.564102564102564E-2</v>
      </c>
      <c r="F11" s="2">
        <f>COUNTIFS(Crewmanifest!F:F,'Speziesanteile nach Rängen'!A11,Crewmanifest!H:H,"",Crewmanifest!E:E,"CM")</f>
        <v>1</v>
      </c>
      <c r="G11" s="7">
        <f t="shared" si="3"/>
        <v>4.3478260869565216E-2</v>
      </c>
      <c r="H11" s="2">
        <f>COUNTIFS(Crewmanifest!F:F,'Speziesanteile nach Rängen'!A11,Crewmanifest!H:H,"",Crewmanifest!E:E,"Kadett")</f>
        <v>0</v>
      </c>
      <c r="I11" s="7">
        <f t="shared" si="4"/>
        <v>0</v>
      </c>
      <c r="K11" s="2">
        <f>COUNTIFS(Crewmanifest!F:F,'Speziesanteile nach Rängen'!A11,Crewmanifest!H:H,"",Crewmanifest!E:E,"Captain")</f>
        <v>1</v>
      </c>
      <c r="L11" s="7">
        <f t="shared" si="5"/>
        <v>1</v>
      </c>
      <c r="M11" s="2">
        <f>COUNTIFS(Crewmanifest!F:F,'Speziesanteile nach Rängen'!A11,Crewmanifest!H:H,"",Crewmanifest!E:E,"Commander")</f>
        <v>0</v>
      </c>
      <c r="N11" s="7">
        <f t="shared" si="6"/>
        <v>0</v>
      </c>
      <c r="O11" s="2">
        <f>COUNTIFS(Crewmanifest!F:F,'Speziesanteile nach Rängen'!A11,Crewmanifest!H:H,"",Crewmanifest!E:E,"Lieutenant Commander")</f>
        <v>0</v>
      </c>
      <c r="P11" s="7">
        <f t="shared" si="7"/>
        <v>0</v>
      </c>
      <c r="Q11" s="2">
        <f>COUNTIFS(Crewmanifest!F:F,'Speziesanteile nach Rängen'!A11,Crewmanifest!H:H,"",Crewmanifest!E:E,"Lieutenant")</f>
        <v>0</v>
      </c>
      <c r="R11" s="7">
        <f t="shared" si="7"/>
        <v>0</v>
      </c>
      <c r="S11" s="2">
        <f>COUNTIFS(Crewmanifest!F:F,'Speziesanteile nach Rängen'!A11,Crewmanifest!H:H,"",Crewmanifest!E:E,"Lieutenant JG")</f>
        <v>0</v>
      </c>
      <c r="T11" s="7">
        <f t="shared" si="8"/>
        <v>0</v>
      </c>
      <c r="U11" s="2">
        <f>COUNTIFS(Crewmanifest!F:F,'Speziesanteile nach Rängen'!A11,Crewmanifest!H:H,"",Crewmanifest!E:E,"Ensign")</f>
        <v>0</v>
      </c>
      <c r="V11" s="7">
        <f t="shared" si="9"/>
        <v>0</v>
      </c>
      <c r="X11" s="2">
        <f>COUNTIFS(Crewmanifest!F:F,'Speziesanteile nach Rängen'!A11,Crewmanifest!H:H,"",Crewmanifest!E:E,"MCPO")</f>
        <v>0</v>
      </c>
      <c r="Y11" s="7">
        <f t="shared" si="10"/>
        <v>0</v>
      </c>
      <c r="Z11" s="2">
        <f>COUNTIFS(Crewmanifest!F:F,'Speziesanteile nach Rängen'!A11,Crewmanifest!H:H,"",Crewmanifest!E:E,"CPO")</f>
        <v>0</v>
      </c>
      <c r="AA11" s="7">
        <f t="shared" si="11"/>
        <v>0</v>
      </c>
      <c r="AB11" s="2">
        <f>COUNTIFS(Crewmanifest!F:F,'Speziesanteile nach Rängen'!A11,Crewmanifest!H:H,"",Crewmanifest!E:E,"PO")</f>
        <v>1</v>
      </c>
      <c r="AC11" s="7">
        <f t="shared" si="12"/>
        <v>3.125E-2</v>
      </c>
    </row>
    <row r="12" spans="1:29">
      <c r="A12" s="2" t="s">
        <v>21</v>
      </c>
      <c r="B12" s="1">
        <f t="shared" si="14"/>
        <v>1</v>
      </c>
      <c r="C12" s="7">
        <f t="shared" si="13"/>
        <v>0.05</v>
      </c>
      <c r="D12" s="1">
        <f t="shared" si="1"/>
        <v>0</v>
      </c>
      <c r="E12" s="7">
        <f t="shared" si="2"/>
        <v>0</v>
      </c>
      <c r="F12" s="2">
        <f>COUNTIFS(Crewmanifest!F:F,'Speziesanteile nach Rängen'!A12,Crewmanifest!H:H,"",Crewmanifest!E:E,"CM")</f>
        <v>1</v>
      </c>
      <c r="G12" s="7">
        <f t="shared" si="3"/>
        <v>4.3478260869565216E-2</v>
      </c>
      <c r="H12" s="2">
        <f>COUNTIFS(Crewmanifest!F:F,'Speziesanteile nach Rängen'!A12,Crewmanifest!H:H,"",Crewmanifest!E:E,"Kadett")</f>
        <v>0</v>
      </c>
      <c r="I12" s="7">
        <f t="shared" si="4"/>
        <v>0</v>
      </c>
      <c r="K12" s="2">
        <f>COUNTIFS(Crewmanifest!F:F,'Speziesanteile nach Rängen'!A12,Crewmanifest!H:H,"",Crewmanifest!E:E,"Captain")</f>
        <v>0</v>
      </c>
      <c r="L12" s="7">
        <f t="shared" si="5"/>
        <v>0</v>
      </c>
      <c r="M12" s="2">
        <f>COUNTIFS(Crewmanifest!F:F,'Speziesanteile nach Rängen'!A12,Crewmanifest!H:H,"",Crewmanifest!E:E,"Commander")</f>
        <v>0</v>
      </c>
      <c r="N12" s="7">
        <f t="shared" si="6"/>
        <v>0</v>
      </c>
      <c r="O12" s="2">
        <f>COUNTIFS(Crewmanifest!F:F,'Speziesanteile nach Rängen'!A12,Crewmanifest!H:H,"",Crewmanifest!E:E,"Lieutenant Commander")</f>
        <v>1</v>
      </c>
      <c r="P12" s="7">
        <f t="shared" si="7"/>
        <v>0.5</v>
      </c>
      <c r="Q12" s="2">
        <f>COUNTIFS(Crewmanifest!F:F,'Speziesanteile nach Rängen'!A12,Crewmanifest!H:H,"",Crewmanifest!E:E,"Lieutenant")</f>
        <v>0</v>
      </c>
      <c r="R12" s="7">
        <f t="shared" si="7"/>
        <v>0</v>
      </c>
      <c r="S12" s="2">
        <f>COUNTIFS(Crewmanifest!F:F,'Speziesanteile nach Rängen'!A12,Crewmanifest!H:H,"",Crewmanifest!E:E,"Lieutenant JG")</f>
        <v>0</v>
      </c>
      <c r="T12" s="7">
        <f t="shared" si="8"/>
        <v>0</v>
      </c>
      <c r="U12" s="2">
        <f>COUNTIFS(Crewmanifest!F:F,'Speziesanteile nach Rängen'!A12,Crewmanifest!H:H,"",Crewmanifest!E:E,"Ensign")</f>
        <v>0</v>
      </c>
      <c r="V12" s="7">
        <f t="shared" si="9"/>
        <v>0</v>
      </c>
      <c r="X12" s="2">
        <f>COUNTIFS(Crewmanifest!F:F,'Speziesanteile nach Rängen'!A12,Crewmanifest!H:H,"",Crewmanifest!E:E,"MCPO")</f>
        <v>0</v>
      </c>
      <c r="Y12" s="7">
        <f t="shared" si="10"/>
        <v>0</v>
      </c>
      <c r="Z12" s="2">
        <f>COUNTIFS(Crewmanifest!F:F,'Speziesanteile nach Rängen'!A12,Crewmanifest!H:H,"",Crewmanifest!E:E,"CPO")</f>
        <v>0</v>
      </c>
      <c r="AA12" s="7">
        <f t="shared" si="11"/>
        <v>0</v>
      </c>
      <c r="AB12" s="2">
        <f>COUNTIFS(Crewmanifest!F:F,'Speziesanteile nach Rängen'!A12,Crewmanifest!H:H,"",Crewmanifest!E:E,"PO")</f>
        <v>0</v>
      </c>
      <c r="AC12" s="7">
        <f t="shared" si="12"/>
        <v>0</v>
      </c>
    </row>
    <row r="13" spans="1:29">
      <c r="A13" s="2" t="s">
        <v>176</v>
      </c>
      <c r="B13" s="1">
        <f t="shared" si="14"/>
        <v>0</v>
      </c>
      <c r="C13" s="7">
        <f t="shared" si="13"/>
        <v>0</v>
      </c>
      <c r="D13" s="1">
        <f t="shared" si="1"/>
        <v>1</v>
      </c>
      <c r="E13" s="7">
        <f t="shared" si="2"/>
        <v>2.564102564102564E-2</v>
      </c>
      <c r="F13" s="2">
        <f>COUNTIFS(Crewmanifest!F:F,'Speziesanteile nach Rängen'!A13,Crewmanifest!H:H,"",Crewmanifest!E:E,"CM")</f>
        <v>0</v>
      </c>
      <c r="G13" s="7">
        <f t="shared" si="3"/>
        <v>0</v>
      </c>
      <c r="H13" s="2">
        <f>COUNTIFS(Crewmanifest!F:F,'Speziesanteile nach Rängen'!A13,Crewmanifest!H:H,"",Crewmanifest!E:E,"Kadett")</f>
        <v>0</v>
      </c>
      <c r="I13" s="7">
        <f t="shared" si="4"/>
        <v>0</v>
      </c>
      <c r="K13" s="2">
        <f>COUNTIFS(Crewmanifest!F:F,'Speziesanteile nach Rängen'!A13,Crewmanifest!H:H,"",Crewmanifest!E:E,"Captain")</f>
        <v>0</v>
      </c>
      <c r="L13" s="7">
        <f t="shared" si="5"/>
        <v>0</v>
      </c>
      <c r="M13" s="2">
        <f>COUNTIFS(Crewmanifest!F:F,'Speziesanteile nach Rängen'!A13,Crewmanifest!H:H,"",Crewmanifest!E:E,"Commander")</f>
        <v>0</v>
      </c>
      <c r="N13" s="7">
        <f t="shared" si="6"/>
        <v>0</v>
      </c>
      <c r="O13" s="2">
        <f>COUNTIFS(Crewmanifest!F:F,'Speziesanteile nach Rängen'!A13,Crewmanifest!H:H,"",Crewmanifest!E:E,"Lieutenant Commander")</f>
        <v>0</v>
      </c>
      <c r="P13" s="7">
        <f t="shared" si="7"/>
        <v>0</v>
      </c>
      <c r="Q13" s="2">
        <f>COUNTIFS(Crewmanifest!F:F,'Speziesanteile nach Rängen'!A13,Crewmanifest!H:H,"",Crewmanifest!E:E,"Lieutenant")</f>
        <v>0</v>
      </c>
      <c r="R13" s="7">
        <f t="shared" si="7"/>
        <v>0</v>
      </c>
      <c r="S13" s="2">
        <f>COUNTIFS(Crewmanifest!F:F,'Speziesanteile nach Rängen'!A13,Crewmanifest!H:H,"",Crewmanifest!E:E,"Lieutenant JG")</f>
        <v>0</v>
      </c>
      <c r="T13" s="7">
        <f t="shared" si="8"/>
        <v>0</v>
      </c>
      <c r="U13" s="2">
        <f>COUNTIFS(Crewmanifest!F:F,'Speziesanteile nach Rängen'!A13,Crewmanifest!H:H,"",Crewmanifest!E:E,"Ensign")</f>
        <v>0</v>
      </c>
      <c r="V13" s="7">
        <f t="shared" si="9"/>
        <v>0</v>
      </c>
      <c r="X13" s="2">
        <f>COUNTIFS(Crewmanifest!F:F,'Speziesanteile nach Rängen'!A13,Crewmanifest!H:H,"",Crewmanifest!E:E,"MCPO")</f>
        <v>0</v>
      </c>
      <c r="Y13" s="7">
        <f t="shared" si="10"/>
        <v>0</v>
      </c>
      <c r="Z13" s="2">
        <f>COUNTIFS(Crewmanifest!F:F,'Speziesanteile nach Rängen'!A13,Crewmanifest!H:H,"",Crewmanifest!E:E,"CPO")</f>
        <v>0</v>
      </c>
      <c r="AA13" s="7">
        <f t="shared" si="11"/>
        <v>0</v>
      </c>
      <c r="AB13" s="2">
        <f>COUNTIFS(Crewmanifest!F:F,'Speziesanteile nach Rängen'!A13,Crewmanifest!H:H,"",Crewmanifest!E:E,"PO")</f>
        <v>1</v>
      </c>
      <c r="AC13" s="7">
        <f t="shared" si="12"/>
        <v>3.125E-2</v>
      </c>
    </row>
    <row r="14" spans="1:29">
      <c r="A14" s="2" t="s">
        <v>55</v>
      </c>
      <c r="B14" s="1">
        <f t="shared" si="14"/>
        <v>4</v>
      </c>
      <c r="C14" s="7">
        <f t="shared" si="13"/>
        <v>0.2</v>
      </c>
      <c r="D14" s="1">
        <f t="shared" si="1"/>
        <v>2</v>
      </c>
      <c r="E14" s="7">
        <f t="shared" si="2"/>
        <v>5.128205128205128E-2</v>
      </c>
      <c r="F14" s="2">
        <f>COUNTIFS(Crewmanifest!F:F,'Speziesanteile nach Rängen'!A14,Crewmanifest!H:H,"",Crewmanifest!E:E,"CM")</f>
        <v>0</v>
      </c>
      <c r="G14" s="7">
        <f t="shared" si="3"/>
        <v>0</v>
      </c>
      <c r="H14" s="2">
        <f>COUNTIFS(Crewmanifest!F:F,'Speziesanteile nach Rängen'!A14,Crewmanifest!H:H,"",Crewmanifest!E:E,"Kadett")</f>
        <v>0</v>
      </c>
      <c r="I14" s="7">
        <f t="shared" si="4"/>
        <v>0</v>
      </c>
      <c r="K14" s="2">
        <f>COUNTIFS(Crewmanifest!F:F,'Speziesanteile nach Rängen'!A14,Crewmanifest!H:H,"",Crewmanifest!E:E,"Captain")</f>
        <v>0</v>
      </c>
      <c r="L14" s="7">
        <f t="shared" si="5"/>
        <v>0</v>
      </c>
      <c r="M14" s="2">
        <f>COUNTIFS(Crewmanifest!F:F,'Speziesanteile nach Rängen'!A14,Crewmanifest!H:H,"",Crewmanifest!E:E,"Commander")</f>
        <v>0</v>
      </c>
      <c r="N14" s="7">
        <f t="shared" si="6"/>
        <v>0</v>
      </c>
      <c r="O14" s="2">
        <f>COUNTIFS(Crewmanifest!F:F,'Speziesanteile nach Rängen'!A14,Crewmanifest!H:H,"",Crewmanifest!E:E,"Lieutenant Commander")</f>
        <v>0</v>
      </c>
      <c r="P14" s="7">
        <f t="shared" si="7"/>
        <v>0</v>
      </c>
      <c r="Q14" s="2">
        <f>COUNTIFS(Crewmanifest!F:F,'Speziesanteile nach Rängen'!A14,Crewmanifest!H:H,"",Crewmanifest!E:E,"Lieutenant")</f>
        <v>2</v>
      </c>
      <c r="R14" s="7">
        <f t="shared" si="7"/>
        <v>0.2857142857142857</v>
      </c>
      <c r="S14" s="2">
        <f>COUNTIFS(Crewmanifest!F:F,'Speziesanteile nach Rängen'!A14,Crewmanifest!H:H,"",Crewmanifest!E:E,"Lieutenant JG")</f>
        <v>0</v>
      </c>
      <c r="T14" s="7">
        <f t="shared" si="8"/>
        <v>0</v>
      </c>
      <c r="U14" s="2">
        <f>COUNTIFS(Crewmanifest!F:F,'Speziesanteile nach Rängen'!A14,Crewmanifest!H:H,"",Crewmanifest!E:E,"Ensign")</f>
        <v>2</v>
      </c>
      <c r="V14" s="7">
        <f t="shared" si="9"/>
        <v>0.2</v>
      </c>
      <c r="X14" s="2">
        <f>COUNTIFS(Crewmanifest!F:F,'Speziesanteile nach Rängen'!A14,Crewmanifest!H:H,"",Crewmanifest!E:E,"MCPO")</f>
        <v>0</v>
      </c>
      <c r="Y14" s="7">
        <f t="shared" si="10"/>
        <v>0</v>
      </c>
      <c r="Z14" s="2">
        <f>COUNTIFS(Crewmanifest!F:F,'Speziesanteile nach Rängen'!A14,Crewmanifest!H:H,"",Crewmanifest!E:E,"CPO")</f>
        <v>1</v>
      </c>
      <c r="AA14" s="7">
        <f t="shared" si="11"/>
        <v>0.16666666666666666</v>
      </c>
      <c r="AB14" s="2">
        <f>COUNTIFS(Crewmanifest!F:F,'Speziesanteile nach Rängen'!A14,Crewmanifest!H:H,"",Crewmanifest!E:E,"PO")</f>
        <v>1</v>
      </c>
      <c r="AC14" s="7">
        <f t="shared" si="12"/>
        <v>3.125E-2</v>
      </c>
    </row>
    <row r="15" spans="1:29">
      <c r="A15" s="2" t="s">
        <v>74</v>
      </c>
      <c r="B15" s="1">
        <f t="shared" si="14"/>
        <v>1</v>
      </c>
      <c r="C15" s="7">
        <f t="shared" si="13"/>
        <v>0.05</v>
      </c>
      <c r="D15" s="1">
        <f t="shared" si="1"/>
        <v>8</v>
      </c>
      <c r="E15" s="7">
        <f t="shared" si="2"/>
        <v>0.20512820512820512</v>
      </c>
      <c r="F15" s="2">
        <f>COUNTIFS(Crewmanifest!F:F,'Speziesanteile nach Rängen'!A15,Crewmanifest!H:H,"",Crewmanifest!E:E,"CM")</f>
        <v>4</v>
      </c>
      <c r="G15" s="7">
        <f t="shared" si="3"/>
        <v>0.17391304347826086</v>
      </c>
      <c r="H15" s="2">
        <f>COUNTIFS(Crewmanifest!F:F,'Speziesanteile nach Rängen'!A15,Crewmanifest!H:H,"",Crewmanifest!E:E,"Kadett")</f>
        <v>0</v>
      </c>
      <c r="I15" s="7">
        <f t="shared" si="4"/>
        <v>0</v>
      </c>
      <c r="K15" s="2">
        <f>COUNTIFS(Crewmanifest!F:F,'Speziesanteile nach Rängen'!A15,Crewmanifest!H:H,"",Crewmanifest!E:E,"Captain")</f>
        <v>0</v>
      </c>
      <c r="L15" s="7">
        <f t="shared" si="5"/>
        <v>0</v>
      </c>
      <c r="M15" s="2">
        <f>COUNTIFS(Crewmanifest!F:F,'Speziesanteile nach Rängen'!A15,Crewmanifest!H:H,"",Crewmanifest!E:E,"Commander")</f>
        <v>0</v>
      </c>
      <c r="N15" s="7">
        <f t="shared" si="6"/>
        <v>0</v>
      </c>
      <c r="O15" s="2">
        <f>COUNTIFS(Crewmanifest!F:F,'Speziesanteile nach Rängen'!A15,Crewmanifest!H:H,"",Crewmanifest!E:E,"Lieutenant Commander")</f>
        <v>0</v>
      </c>
      <c r="P15" s="7">
        <f t="shared" si="7"/>
        <v>0</v>
      </c>
      <c r="Q15" s="2">
        <f>COUNTIFS(Crewmanifest!F:F,'Speziesanteile nach Rängen'!A15,Crewmanifest!H:H,"",Crewmanifest!E:E,"Lieutenant")</f>
        <v>0</v>
      </c>
      <c r="R15" s="7">
        <f t="shared" si="7"/>
        <v>0</v>
      </c>
      <c r="S15" s="2">
        <f>COUNTIFS(Crewmanifest!F:F,'Speziesanteile nach Rängen'!A15,Crewmanifest!H:H,"",Crewmanifest!E:E,"Lieutenant JG")</f>
        <v>1</v>
      </c>
      <c r="T15" s="7">
        <f t="shared" si="8"/>
        <v>0.16666666666666666</v>
      </c>
      <c r="U15" s="2">
        <f>COUNTIFS(Crewmanifest!F:F,'Speziesanteile nach Rängen'!A15,Crewmanifest!H:H,"",Crewmanifest!E:E,"Ensign")</f>
        <v>0</v>
      </c>
      <c r="V15" s="7">
        <f t="shared" si="9"/>
        <v>0</v>
      </c>
      <c r="X15" s="2">
        <f>COUNTIFS(Crewmanifest!F:F,'Speziesanteile nach Rängen'!A15,Crewmanifest!H:H,"",Crewmanifest!E:E,"MCPO")</f>
        <v>0</v>
      </c>
      <c r="Y15" s="7">
        <f t="shared" si="10"/>
        <v>0</v>
      </c>
      <c r="Z15" s="2">
        <f>COUNTIFS(Crewmanifest!F:F,'Speziesanteile nach Rängen'!A15,Crewmanifest!H:H,"",Crewmanifest!E:E,"CPO")</f>
        <v>1</v>
      </c>
      <c r="AA15" s="7">
        <f t="shared" si="11"/>
        <v>0.16666666666666666</v>
      </c>
      <c r="AB15" s="2">
        <f>COUNTIFS(Crewmanifest!F:F,'Speziesanteile nach Rängen'!A15,Crewmanifest!H:H,"",Crewmanifest!E:E,"PO")</f>
        <v>7</v>
      </c>
      <c r="AC15" s="7">
        <f t="shared" si="12"/>
        <v>0.21875</v>
      </c>
    </row>
    <row r="16" spans="1:29">
      <c r="A16" s="2" t="s">
        <v>5</v>
      </c>
      <c r="B16" s="1">
        <f t="shared" si="14"/>
        <v>2</v>
      </c>
      <c r="C16" s="7">
        <f t="shared" si="13"/>
        <v>0.1</v>
      </c>
      <c r="D16" s="1">
        <f t="shared" si="1"/>
        <v>6</v>
      </c>
      <c r="E16" s="7">
        <f t="shared" si="2"/>
        <v>0.15384615384615385</v>
      </c>
      <c r="F16" s="2">
        <f>COUNTIFS(Crewmanifest!H:H,"Ja",Crewmanifest!E:E,"CM")</f>
        <v>2</v>
      </c>
      <c r="G16" s="7">
        <f t="shared" si="3"/>
        <v>8.6956521739130432E-2</v>
      </c>
      <c r="H16" s="2">
        <f>COUNTIFS(Crewmanifest!H:H,"Ja",Crewmanifest!E:E,"Kadett")</f>
        <v>0</v>
      </c>
      <c r="I16" s="7">
        <f t="shared" si="4"/>
        <v>0</v>
      </c>
      <c r="K16" s="2">
        <f>COUNTIFS(Crewmanifest!H:H,"Ja",Crewmanifest!E:E,"Captain")</f>
        <v>0</v>
      </c>
      <c r="L16" s="7">
        <f t="shared" si="5"/>
        <v>0</v>
      </c>
      <c r="M16" s="2">
        <f>COUNTIFS(Crewmanifest!H:H,"Ja",Crewmanifest!E:E,"Commander")</f>
        <v>0</v>
      </c>
      <c r="N16" s="7">
        <f t="shared" si="6"/>
        <v>0</v>
      </c>
      <c r="O16" s="2">
        <f>COUNTIFS(Crewmanifest!H:H,"Ja",Crewmanifest!E:E,"Lieutenant Commander")</f>
        <v>0</v>
      </c>
      <c r="P16" s="7">
        <f t="shared" si="7"/>
        <v>0</v>
      </c>
      <c r="Q16" s="2">
        <f>COUNTIFS(Crewmanifest!H:H,"Ja",Crewmanifest!E:E,"Lieutenant")</f>
        <v>1</v>
      </c>
      <c r="R16" s="7">
        <f t="shared" si="7"/>
        <v>0.14285714285714285</v>
      </c>
      <c r="S16" s="2">
        <f>COUNTIFS(Crewmanifest!H:H,"Ja",Crewmanifest!E:E,"Lieutenant JG")</f>
        <v>1</v>
      </c>
      <c r="T16" s="7">
        <f t="shared" si="8"/>
        <v>0.16666666666666666</v>
      </c>
      <c r="U16" s="2">
        <f>COUNTIFS(Crewmanifest!H:H,"Ja",Crewmanifest!E:E,"Ensign")</f>
        <v>0</v>
      </c>
      <c r="V16" s="7">
        <f t="shared" si="9"/>
        <v>0</v>
      </c>
      <c r="X16" s="2">
        <f>COUNTIFS(Crewmanifest!H:H,"Ja",Crewmanifest!E:E,"MCPO")</f>
        <v>0</v>
      </c>
      <c r="Y16" s="7">
        <f t="shared" si="10"/>
        <v>0</v>
      </c>
      <c r="Z16" s="2">
        <f>COUNTIFS(Crewmanifest!H:H,"Ja",Crewmanifest!E:E,"CPO")</f>
        <v>0</v>
      </c>
      <c r="AA16" s="7">
        <f t="shared" si="11"/>
        <v>0</v>
      </c>
      <c r="AB16" s="2">
        <f>COUNTIFS(Crewmanifest!H:H,"Ja",Crewmanifest!E:E,"PO")</f>
        <v>6</v>
      </c>
      <c r="AC16" s="7">
        <f t="shared" si="12"/>
        <v>0.1875</v>
      </c>
    </row>
    <row r="18" spans="1:29">
      <c r="A18" t="s">
        <v>180</v>
      </c>
      <c r="B18" s="1">
        <f>SUM(B4:B16)</f>
        <v>27</v>
      </c>
      <c r="C18" s="11">
        <f t="shared" ref="C18" si="15">SUM(C4:C16)</f>
        <v>1.3500000000000003</v>
      </c>
      <c r="D18" s="1">
        <f t="shared" ref="D18:I18" si="16">SUM(D4:D16)</f>
        <v>39</v>
      </c>
      <c r="E18" s="11">
        <f t="shared" si="16"/>
        <v>1</v>
      </c>
      <c r="F18" s="1">
        <f t="shared" si="16"/>
        <v>23</v>
      </c>
      <c r="G18" s="11">
        <f t="shared" si="16"/>
        <v>1</v>
      </c>
      <c r="H18" s="1">
        <f t="shared" si="16"/>
        <v>2</v>
      </c>
      <c r="I18" s="11">
        <f t="shared" si="16"/>
        <v>1</v>
      </c>
      <c r="K18" s="1">
        <f t="shared" ref="K18:V18" si="17">SUM(K4:K16)</f>
        <v>1</v>
      </c>
      <c r="L18" s="11">
        <f t="shared" si="17"/>
        <v>1</v>
      </c>
      <c r="M18" s="1">
        <f t="shared" si="17"/>
        <v>1</v>
      </c>
      <c r="N18" s="11">
        <f t="shared" si="17"/>
        <v>1</v>
      </c>
      <c r="O18" s="1">
        <f t="shared" si="17"/>
        <v>2</v>
      </c>
      <c r="P18" s="11">
        <f t="shared" si="17"/>
        <v>1</v>
      </c>
      <c r="Q18" s="1">
        <f t="shared" ref="Q18" si="18">SUM(Q4:Q16)</f>
        <v>7</v>
      </c>
      <c r="R18" s="11">
        <f>SUM(R4:R16)</f>
        <v>1</v>
      </c>
      <c r="S18" s="1">
        <f t="shared" si="17"/>
        <v>6</v>
      </c>
      <c r="T18" s="11">
        <f t="shared" si="17"/>
        <v>0.99999999999999989</v>
      </c>
      <c r="U18" s="1">
        <f t="shared" si="17"/>
        <v>10</v>
      </c>
      <c r="V18" s="11">
        <f t="shared" si="17"/>
        <v>1</v>
      </c>
      <c r="X18" s="1">
        <f t="shared" ref="X18:AC18" si="19">SUM(X4:X16)</f>
        <v>1</v>
      </c>
      <c r="Y18" s="11">
        <f t="shared" si="19"/>
        <v>1</v>
      </c>
      <c r="Z18" s="1">
        <f t="shared" si="19"/>
        <v>6</v>
      </c>
      <c r="AA18" s="11">
        <f t="shared" si="19"/>
        <v>0.99999999999999989</v>
      </c>
      <c r="AB18" s="1">
        <f t="shared" si="19"/>
        <v>32</v>
      </c>
      <c r="AC18" s="11">
        <f t="shared" si="19"/>
        <v>1</v>
      </c>
    </row>
    <row r="20" spans="1:29">
      <c r="A20" t="s">
        <v>131</v>
      </c>
      <c r="B20">
        <v>36</v>
      </c>
      <c r="C20" s="12">
        <f>B3/B20</f>
        <v>0.55555555555555558</v>
      </c>
      <c r="D20">
        <v>108</v>
      </c>
      <c r="E20" s="12">
        <f>D3/D20</f>
        <v>0.3611111111111111</v>
      </c>
      <c r="F20">
        <v>360</v>
      </c>
      <c r="G20" s="12">
        <f>F3/F20</f>
        <v>6.3888888888888884E-2</v>
      </c>
    </row>
    <row r="23" spans="1:29">
      <c r="A23" s="2" t="s">
        <v>173</v>
      </c>
      <c r="B23" s="5" t="s">
        <v>179</v>
      </c>
    </row>
    <row r="24" spans="1:29">
      <c r="A24" s="2"/>
    </row>
    <row r="25" spans="1:29">
      <c r="A25" s="2" t="s">
        <v>62</v>
      </c>
      <c r="B25">
        <f>SUM(K24,M24,O24,Q24,S24,U24)</f>
        <v>0</v>
      </c>
      <c r="C25" s="13">
        <f>B25/B$3</f>
        <v>0</v>
      </c>
      <c r="D25">
        <f>SUM(X25,Z25,AB25)</f>
        <v>1</v>
      </c>
      <c r="E25" s="13">
        <f>D25/D$3</f>
        <v>2.564102564102564E-2</v>
      </c>
      <c r="F25">
        <f>COUNTIFS(Crewmanifest!F:F,'Speziesanteile nach Abteilungen'!A23,Crewmanifest!H:H,"Ja",Crewmanifest!E:E,"CM")+COUNTIFS(Crewmanifest!G:G,'Speziesanteile nach Abteilungen'!A23,Crewmanifest!H:H,"Ja",Crewmanifest!E:E,"CM")</f>
        <v>0</v>
      </c>
      <c r="G25" s="13">
        <f>F25/F$3</f>
        <v>0</v>
      </c>
      <c r="H25">
        <f>COUNTIFS(Crewmanifest!F:F,'Speziesanteile nach Abteilungen'!A23,Crewmanifest!H:H,"Ja",Crewmanifest!E:E,"Kadett")+COUNTIFS(Crewmanifest!G:G,'Speziesanteile nach Abteilungen'!A23,Crewmanifest!H:H,"Ja",Crewmanifest!E:E,"Kadett")</f>
        <v>0</v>
      </c>
      <c r="I25" s="13">
        <f>H25/H$3</f>
        <v>0</v>
      </c>
      <c r="K25">
        <f>COUNTIFS(Crewmanifest!F:F,'Speziesanteile nach Abteilungen'!A23,Crewmanifest!H:H,"Ja",Crewmanifest!E:E,"Captain")+COUNTIFS(Crewmanifest!G:G,'Speziesanteile nach Abteilungen'!A23,Crewmanifest!H:H,"Ja",Crewmanifest!E:E,"Captain")</f>
        <v>0</v>
      </c>
      <c r="L25" s="13">
        <f>K25/K$3</f>
        <v>0</v>
      </c>
      <c r="M25">
        <f>COUNTIFS(Crewmanifest!F:F,'Speziesanteile nach Abteilungen'!A23,Crewmanifest!H:H,"Ja",Crewmanifest!E:E,"Commander")+COUNTIFS(Crewmanifest!G:G,'Speziesanteile nach Abteilungen'!A23,Crewmanifest!H:H,"Ja",Crewmanifest!E:E,"Commander")</f>
        <v>0</v>
      </c>
      <c r="N25" s="13">
        <f>M25/M$3</f>
        <v>0</v>
      </c>
      <c r="O25">
        <f>COUNTIFS(Crewmanifest!F:F,'Speziesanteile nach Abteilungen'!A23,Crewmanifest!H:H,"Ja",Crewmanifest!E:E,"Lieutenant Commander")+COUNTIFS(Crewmanifest!G:G,'Speziesanteile nach Abteilungen'!A23,Crewmanifest!H:H,"Ja",Crewmanifest!E:E,"Lieutenant Commander")</f>
        <v>0</v>
      </c>
      <c r="P25" s="13">
        <f>O25/O$3</f>
        <v>0</v>
      </c>
      <c r="Q25">
        <f>COUNTIFS(Crewmanifest!F:F,'Speziesanteile nach Abteilungen'!A23,Crewmanifest!H:H,"Ja",Crewmanifest!E:E,"Lieutenant")+COUNTIFS(Crewmanifest!G:G,'Speziesanteile nach Abteilungen'!A23,Crewmanifest!H:H,"Ja",Crewmanifest!E:E,"Lieutenant")</f>
        <v>0</v>
      </c>
      <c r="R25" s="13">
        <f>Q25/Q$3</f>
        <v>0</v>
      </c>
      <c r="S25">
        <f>COUNTIFS(Crewmanifest!F:F,'Speziesanteile nach Abteilungen'!A23,Crewmanifest!H:H,"Ja",Crewmanifest!E:E,"Lieutenant JG")+COUNTIFS(Crewmanifest!G:G,'Speziesanteile nach Abteilungen'!A23,Crewmanifest!H:H,"Ja",Crewmanifest!E:E,"Lieutenant JG")</f>
        <v>0</v>
      </c>
      <c r="T25" s="13">
        <f>S25/S$3</f>
        <v>0</v>
      </c>
      <c r="U25">
        <f>COUNTIFS(Crewmanifest!F:F,'Speziesanteile nach Abteilungen'!A23,Crewmanifest!H:H,"Ja",Crewmanifest!E:E,"Ensign")+COUNTIFS(Crewmanifest!G:G,'Speziesanteile nach Abteilungen'!A23,Crewmanifest!H:H,"Ja",Crewmanifest!E:E,"Ensign")</f>
        <v>0</v>
      </c>
      <c r="V25" s="13">
        <f>U25/U$3</f>
        <v>0</v>
      </c>
      <c r="X25">
        <f>COUNTIFS(Crewmanifest!F:F,'Speziesanteile nach Abteilungen'!A23,Crewmanifest!H:H,"Ja",Crewmanifest!E:E,"MCPO")+COUNTIFS(Crewmanifest!G:G,'Speziesanteile nach Abteilungen'!A23,Crewmanifest!H:H,"Ja",Crewmanifest!E:E,"MCPO")</f>
        <v>0</v>
      </c>
      <c r="Y25" s="13">
        <f>X25/X$3</f>
        <v>0</v>
      </c>
      <c r="Z25">
        <f>COUNTIFS(Crewmanifest!F:F,'Speziesanteile nach Abteilungen'!A23,Crewmanifest!H:H,"Ja",Crewmanifest!E:E,"CPO")+COUNTIFS(Crewmanifest!G:G,'Speziesanteile nach Abteilungen'!A23,Crewmanifest!H:H,"Ja",Crewmanifest!E:E,"CPO")</f>
        <v>0</v>
      </c>
      <c r="AA25" s="13">
        <f>Z25/Z$3</f>
        <v>0</v>
      </c>
      <c r="AB25">
        <f>COUNTIFS(Crewmanifest!F:F,'Speziesanteile nach Abteilungen'!A23,Crewmanifest!H:H,"Ja",Crewmanifest!E:E,"PO")+COUNTIFS(Crewmanifest!G:G,'Speziesanteile nach Abteilungen'!A23,Crewmanifest!H:H,"Ja",Crewmanifest!E:E,"PO")</f>
        <v>1</v>
      </c>
      <c r="AC25" s="13">
        <f>AB25/AB$3</f>
        <v>3.125E-2</v>
      </c>
    </row>
    <row r="26" spans="1:29">
      <c r="A26" s="2" t="s">
        <v>166</v>
      </c>
      <c r="B26">
        <f t="shared" ref="B26:B35" si="20">SUM(K25,M25,O25,Q25,S25,U25)</f>
        <v>0</v>
      </c>
      <c r="C26" s="13">
        <f t="shared" ref="C26:E35" si="21">B26/B$3</f>
        <v>0</v>
      </c>
      <c r="D26">
        <f t="shared" ref="D26:D35" si="22">SUM(X26,Z26,AB26)</f>
        <v>1</v>
      </c>
      <c r="E26" s="13">
        <f t="shared" si="21"/>
        <v>2.564102564102564E-2</v>
      </c>
      <c r="F26">
        <f>COUNTIFS(Crewmanifest!F:F,'Speziesanteile nach Abteilungen'!A24,Crewmanifest!H:H,"Ja",Crewmanifest!E:E,"CM")+COUNTIFS(Crewmanifest!G:G,'Speziesanteile nach Abteilungen'!A24,Crewmanifest!H:H,"Ja",Crewmanifest!E:E,"CM")</f>
        <v>1</v>
      </c>
      <c r="G26" s="13">
        <f t="shared" ref="G26" si="23">F26/F$3</f>
        <v>4.3478260869565216E-2</v>
      </c>
      <c r="H26">
        <f>COUNTIFS(Crewmanifest!F:F,'Speziesanteile nach Abteilungen'!A24,Crewmanifest!H:H,"Ja",Crewmanifest!E:E,"Kadett")+COUNTIFS(Crewmanifest!G:G,'Speziesanteile nach Abteilungen'!A24,Crewmanifest!H:H,"Ja",Crewmanifest!E:E,"Kadett")</f>
        <v>0</v>
      </c>
      <c r="I26" s="13">
        <f t="shared" ref="I26" si="24">H26/H$3</f>
        <v>0</v>
      </c>
      <c r="K26">
        <f>COUNTIFS(Crewmanifest!F:F,'Speziesanteile nach Abteilungen'!A24,Crewmanifest!H:H,"Ja",Crewmanifest!E:E,"Captain")+COUNTIFS(Crewmanifest!G:G,'Speziesanteile nach Abteilungen'!A24,Crewmanifest!H:H,"Ja",Crewmanifest!E:E,"Captain")</f>
        <v>0</v>
      </c>
      <c r="L26" s="13">
        <f t="shared" ref="L26" si="25">K26/K$3</f>
        <v>0</v>
      </c>
      <c r="M26">
        <f>COUNTIFS(Crewmanifest!F:F,'Speziesanteile nach Abteilungen'!A24,Crewmanifest!H:H,"Ja",Crewmanifest!E:E,"Commander")+COUNTIFS(Crewmanifest!G:G,'Speziesanteile nach Abteilungen'!A24,Crewmanifest!H:H,"Ja",Crewmanifest!E:E,"Commander")</f>
        <v>0</v>
      </c>
      <c r="N26" s="13">
        <f t="shared" ref="N26" si="26">M26/M$3</f>
        <v>0</v>
      </c>
      <c r="O26">
        <f>COUNTIFS(Crewmanifest!F:F,'Speziesanteile nach Abteilungen'!A24,Crewmanifest!H:H,"Ja",Crewmanifest!E:E,"Lieutenant Commander")+COUNTIFS(Crewmanifest!G:G,'Speziesanteile nach Abteilungen'!A24,Crewmanifest!H:H,"Ja",Crewmanifest!E:E,"Lieutenant Commander")</f>
        <v>0</v>
      </c>
      <c r="P26" s="13">
        <f t="shared" ref="P26:R26" si="27">O26/O$3</f>
        <v>0</v>
      </c>
      <c r="Q26">
        <f>COUNTIFS(Crewmanifest!F:F,'Speziesanteile nach Abteilungen'!A24,Crewmanifest!H:H,"Ja",Crewmanifest!E:E,"Lieutenant")+COUNTIFS(Crewmanifest!G:G,'Speziesanteile nach Abteilungen'!A24,Crewmanifest!H:H,"Ja",Crewmanifest!E:E,"Lieutenant")</f>
        <v>0</v>
      </c>
      <c r="R26" s="13">
        <f t="shared" si="27"/>
        <v>0</v>
      </c>
      <c r="S26">
        <f>COUNTIFS(Crewmanifest!F:F,'Speziesanteile nach Abteilungen'!A24,Crewmanifest!H:H,"Ja",Crewmanifest!E:E,"Lieutenant JG")+COUNTIFS(Crewmanifest!G:G,'Speziesanteile nach Abteilungen'!A24,Crewmanifest!H:H,"Ja",Crewmanifest!E:E,"Lieutenant JG")</f>
        <v>1</v>
      </c>
      <c r="T26" s="13">
        <f t="shared" ref="T26" si="28">S26/S$3</f>
        <v>0.16666666666666666</v>
      </c>
      <c r="U26">
        <f>COUNTIFS(Crewmanifest!F:F,'Speziesanteile nach Abteilungen'!A24,Crewmanifest!H:H,"Ja",Crewmanifest!E:E,"Ensign")+COUNTIFS(Crewmanifest!G:G,'Speziesanteile nach Abteilungen'!A24,Crewmanifest!H:H,"Ja",Crewmanifest!E:E,"Ensign")</f>
        <v>0</v>
      </c>
      <c r="V26" s="13">
        <f t="shared" ref="V26" si="29">U26/U$3</f>
        <v>0</v>
      </c>
      <c r="X26">
        <f>COUNTIFS(Crewmanifest!F:F,'Speziesanteile nach Abteilungen'!A24,Crewmanifest!H:H,"Ja",Crewmanifest!E:E,"MCPO")+COUNTIFS(Crewmanifest!G:G,'Speziesanteile nach Abteilungen'!A24,Crewmanifest!H:H,"Ja",Crewmanifest!E:E,"MCPO")</f>
        <v>0</v>
      </c>
      <c r="Y26" s="13">
        <f t="shared" ref="Y26:Y35" si="30">X26/X$3</f>
        <v>0</v>
      </c>
      <c r="Z26">
        <f>COUNTIFS(Crewmanifest!F:F,'Speziesanteile nach Abteilungen'!A24,Crewmanifest!H:H,"Ja",Crewmanifest!E:E,"CPO")+COUNTIFS(Crewmanifest!G:G,'Speziesanteile nach Abteilungen'!A24,Crewmanifest!H:H,"Ja",Crewmanifest!E:E,"CPO")</f>
        <v>0</v>
      </c>
      <c r="AA26" s="13">
        <f t="shared" ref="AA26:AA35" si="31">Z26/Z$3</f>
        <v>0</v>
      </c>
      <c r="AB26">
        <f>COUNTIFS(Crewmanifest!F:F,'Speziesanteile nach Abteilungen'!A24,Crewmanifest!H:H,"Ja",Crewmanifest!E:E,"PO")+COUNTIFS(Crewmanifest!G:G,'Speziesanteile nach Abteilungen'!A24,Crewmanifest!H:H,"Ja",Crewmanifest!E:E,"PO")</f>
        <v>1</v>
      </c>
      <c r="AC26" s="13">
        <f t="shared" ref="AC26:AC35" si="32">AB26/AB$3</f>
        <v>3.125E-2</v>
      </c>
    </row>
    <row r="27" spans="1:29">
      <c r="A27" s="2" t="s">
        <v>61</v>
      </c>
      <c r="B27">
        <f t="shared" si="20"/>
        <v>1</v>
      </c>
      <c r="C27" s="13">
        <f t="shared" si="21"/>
        <v>0.05</v>
      </c>
      <c r="D27">
        <f t="shared" si="22"/>
        <v>1</v>
      </c>
      <c r="E27" s="13">
        <f t="shared" si="21"/>
        <v>2.564102564102564E-2</v>
      </c>
      <c r="F27">
        <f>COUNTIFS(Crewmanifest!F:F,'Speziesanteile nach Abteilungen'!A25,Crewmanifest!H:H,"Ja",Crewmanifest!E:E,"CM")+COUNTIFS(Crewmanifest!G:G,'Speziesanteile nach Abteilungen'!A25,Crewmanifest!H:H,"Ja",Crewmanifest!E:E,"CM")</f>
        <v>0</v>
      </c>
      <c r="G27" s="13">
        <f t="shared" ref="G27" si="33">F27/F$3</f>
        <v>0</v>
      </c>
      <c r="H27">
        <f>COUNTIFS(Crewmanifest!F:F,'Speziesanteile nach Abteilungen'!A25,Crewmanifest!H:H,"Ja",Crewmanifest!E:E,"Kadett")+COUNTIFS(Crewmanifest!G:G,'Speziesanteile nach Abteilungen'!A25,Crewmanifest!H:H,"Ja",Crewmanifest!E:E,"Kadett")</f>
        <v>0</v>
      </c>
      <c r="I27" s="13">
        <f t="shared" ref="I27" si="34">H27/H$3</f>
        <v>0</v>
      </c>
      <c r="K27">
        <f>COUNTIFS(Crewmanifest!F:F,'Speziesanteile nach Abteilungen'!A25,Crewmanifest!H:H,"Ja",Crewmanifest!E:E,"Captain")+COUNTIFS(Crewmanifest!G:G,'Speziesanteile nach Abteilungen'!A25,Crewmanifest!H:H,"Ja",Crewmanifest!E:E,"Captain")</f>
        <v>0</v>
      </c>
      <c r="L27" s="13">
        <f t="shared" ref="L27" si="35">K27/K$3</f>
        <v>0</v>
      </c>
      <c r="M27">
        <f>COUNTIFS(Crewmanifest!F:F,'Speziesanteile nach Abteilungen'!A25,Crewmanifest!H:H,"Ja",Crewmanifest!E:E,"Commander")+COUNTIFS(Crewmanifest!G:G,'Speziesanteile nach Abteilungen'!A25,Crewmanifest!H:H,"Ja",Crewmanifest!E:E,"Commander")</f>
        <v>0</v>
      </c>
      <c r="N27" s="13">
        <f t="shared" ref="N27" si="36">M27/M$3</f>
        <v>0</v>
      </c>
      <c r="O27">
        <f>COUNTIFS(Crewmanifest!F:F,'Speziesanteile nach Abteilungen'!A25,Crewmanifest!H:H,"Ja",Crewmanifest!E:E,"Lieutenant Commander")+COUNTIFS(Crewmanifest!G:G,'Speziesanteile nach Abteilungen'!A25,Crewmanifest!H:H,"Ja",Crewmanifest!E:E,"Lieutenant Commander")</f>
        <v>0</v>
      </c>
      <c r="P27" s="13">
        <f t="shared" ref="P27:R27" si="37">O27/O$3</f>
        <v>0</v>
      </c>
      <c r="Q27">
        <f>COUNTIFS(Crewmanifest!F:F,'Speziesanteile nach Abteilungen'!A25,Crewmanifest!H:H,"Ja",Crewmanifest!E:E,"Lieutenant")+COUNTIFS(Crewmanifest!G:G,'Speziesanteile nach Abteilungen'!A25,Crewmanifest!H:H,"Ja",Crewmanifest!E:E,"Lieutenant")</f>
        <v>0</v>
      </c>
      <c r="R27" s="13">
        <f t="shared" si="37"/>
        <v>0</v>
      </c>
      <c r="S27">
        <f>COUNTIFS(Crewmanifest!F:F,'Speziesanteile nach Abteilungen'!A25,Crewmanifest!H:H,"Ja",Crewmanifest!E:E,"Lieutenant JG")+COUNTIFS(Crewmanifest!G:G,'Speziesanteile nach Abteilungen'!A25,Crewmanifest!H:H,"Ja",Crewmanifest!E:E,"Lieutenant JG")</f>
        <v>0</v>
      </c>
      <c r="T27" s="13">
        <f t="shared" ref="T27" si="38">S27/S$3</f>
        <v>0</v>
      </c>
      <c r="U27">
        <f>COUNTIFS(Crewmanifest!F:F,'Speziesanteile nach Abteilungen'!A25,Crewmanifest!H:H,"Ja",Crewmanifest!E:E,"Ensign")+COUNTIFS(Crewmanifest!G:G,'Speziesanteile nach Abteilungen'!A25,Crewmanifest!H:H,"Ja",Crewmanifest!E:E,"Ensign")</f>
        <v>0</v>
      </c>
      <c r="V27" s="13">
        <f t="shared" ref="V27" si="39">U27/U$3</f>
        <v>0</v>
      </c>
      <c r="X27">
        <f>COUNTIFS(Crewmanifest!F:F,'Speziesanteile nach Abteilungen'!A25,Crewmanifest!H:H,"Ja",Crewmanifest!E:E,"MCPO")+COUNTIFS(Crewmanifest!G:G,'Speziesanteile nach Abteilungen'!A25,Crewmanifest!H:H,"Ja",Crewmanifest!E:E,"MCPO")</f>
        <v>0</v>
      </c>
      <c r="Y27" s="13">
        <f t="shared" si="30"/>
        <v>0</v>
      </c>
      <c r="Z27">
        <f>COUNTIFS(Crewmanifest!F:F,'Speziesanteile nach Abteilungen'!A25,Crewmanifest!H:H,"Ja",Crewmanifest!E:E,"CPO")+COUNTIFS(Crewmanifest!G:G,'Speziesanteile nach Abteilungen'!A25,Crewmanifest!H:H,"Ja",Crewmanifest!E:E,"CPO")</f>
        <v>0</v>
      </c>
      <c r="AA27" s="13">
        <f t="shared" si="31"/>
        <v>0</v>
      </c>
      <c r="AB27">
        <f>COUNTIFS(Crewmanifest!F:F,'Speziesanteile nach Abteilungen'!A25,Crewmanifest!H:H,"Ja",Crewmanifest!E:E,"PO")+COUNTIFS(Crewmanifest!G:G,'Speziesanteile nach Abteilungen'!A25,Crewmanifest!H:H,"Ja",Crewmanifest!E:E,"PO")</f>
        <v>1</v>
      </c>
      <c r="AC27" s="13">
        <f t="shared" si="32"/>
        <v>3.125E-2</v>
      </c>
    </row>
    <row r="28" spans="1:29">
      <c r="A28" s="2" t="s">
        <v>170</v>
      </c>
      <c r="B28">
        <f t="shared" si="20"/>
        <v>0</v>
      </c>
      <c r="C28" s="13">
        <f t="shared" si="21"/>
        <v>0</v>
      </c>
      <c r="D28">
        <f t="shared" si="22"/>
        <v>0</v>
      </c>
      <c r="E28" s="13">
        <f t="shared" si="21"/>
        <v>0</v>
      </c>
      <c r="F28">
        <f>COUNTIFS(Crewmanifest!F:F,'Speziesanteile nach Abteilungen'!A26,Crewmanifest!H:H,"Ja",Crewmanifest!E:E,"CM")+COUNTIFS(Crewmanifest!G:G,'Speziesanteile nach Abteilungen'!A26,Crewmanifest!H:H,"Ja",Crewmanifest!E:E,"CM")</f>
        <v>1</v>
      </c>
      <c r="G28" s="13">
        <f t="shared" ref="G28" si="40">F28/F$3</f>
        <v>4.3478260869565216E-2</v>
      </c>
      <c r="H28">
        <f>COUNTIFS(Crewmanifest!F:F,'Speziesanteile nach Abteilungen'!A26,Crewmanifest!H:H,"Ja",Crewmanifest!E:E,"Kadett")+COUNTIFS(Crewmanifest!G:G,'Speziesanteile nach Abteilungen'!A26,Crewmanifest!H:H,"Ja",Crewmanifest!E:E,"Kadett")</f>
        <v>0</v>
      </c>
      <c r="I28" s="13">
        <f t="shared" ref="I28" si="41">H28/H$3</f>
        <v>0</v>
      </c>
      <c r="K28">
        <f>COUNTIFS(Crewmanifest!F:F,'Speziesanteile nach Abteilungen'!A26,Crewmanifest!H:H,"Ja",Crewmanifest!E:E,"Captain")+COUNTIFS(Crewmanifest!G:G,'Speziesanteile nach Abteilungen'!A26,Crewmanifest!H:H,"Ja",Crewmanifest!E:E,"Captain")</f>
        <v>0</v>
      </c>
      <c r="L28" s="13">
        <f t="shared" ref="L28" si="42">K28/K$3</f>
        <v>0</v>
      </c>
      <c r="M28">
        <f>COUNTIFS(Crewmanifest!F:F,'Speziesanteile nach Abteilungen'!A26,Crewmanifest!H:H,"Ja",Crewmanifest!E:E,"Commander")+COUNTIFS(Crewmanifest!G:G,'Speziesanteile nach Abteilungen'!A26,Crewmanifest!H:H,"Ja",Crewmanifest!E:E,"Commander")</f>
        <v>0</v>
      </c>
      <c r="N28" s="13">
        <f t="shared" ref="N28" si="43">M28/M$3</f>
        <v>0</v>
      </c>
      <c r="O28">
        <f>COUNTIFS(Crewmanifest!F:F,'Speziesanteile nach Abteilungen'!A26,Crewmanifest!H:H,"Ja",Crewmanifest!E:E,"Lieutenant Commander")+COUNTIFS(Crewmanifest!G:G,'Speziesanteile nach Abteilungen'!A26,Crewmanifest!H:H,"Ja",Crewmanifest!E:E,"Lieutenant Commander")</f>
        <v>0</v>
      </c>
      <c r="P28" s="13">
        <f t="shared" ref="P28:R28" si="44">O28/O$3</f>
        <v>0</v>
      </c>
      <c r="Q28">
        <f>COUNTIFS(Crewmanifest!F:F,'Speziesanteile nach Abteilungen'!A26,Crewmanifest!H:H,"Ja",Crewmanifest!E:E,"Lieutenant")+COUNTIFS(Crewmanifest!G:G,'Speziesanteile nach Abteilungen'!A26,Crewmanifest!H:H,"Ja",Crewmanifest!E:E,"Lieutenant")</f>
        <v>0</v>
      </c>
      <c r="R28" s="13">
        <f t="shared" si="44"/>
        <v>0</v>
      </c>
      <c r="S28">
        <f>COUNTIFS(Crewmanifest!F:F,'Speziesanteile nach Abteilungen'!A26,Crewmanifest!H:H,"Ja",Crewmanifest!E:E,"Lieutenant JG")+COUNTIFS(Crewmanifest!G:G,'Speziesanteile nach Abteilungen'!A26,Crewmanifest!H:H,"Ja",Crewmanifest!E:E,"Lieutenant JG")</f>
        <v>0</v>
      </c>
      <c r="T28" s="13">
        <f t="shared" ref="T28" si="45">S28/S$3</f>
        <v>0</v>
      </c>
      <c r="U28">
        <f>COUNTIFS(Crewmanifest!F:F,'Speziesanteile nach Abteilungen'!A26,Crewmanifest!H:H,"Ja",Crewmanifest!E:E,"Ensign")+COUNTIFS(Crewmanifest!G:G,'Speziesanteile nach Abteilungen'!A26,Crewmanifest!H:H,"Ja",Crewmanifest!E:E,"Ensign")</f>
        <v>0</v>
      </c>
      <c r="V28" s="13">
        <f t="shared" ref="V28" si="46">U28/U$3</f>
        <v>0</v>
      </c>
      <c r="X28">
        <f>COUNTIFS(Crewmanifest!F:F,'Speziesanteile nach Abteilungen'!A26,Crewmanifest!H:H,"Ja",Crewmanifest!E:E,"MCPO")+COUNTIFS(Crewmanifest!G:G,'Speziesanteile nach Abteilungen'!A26,Crewmanifest!H:H,"Ja",Crewmanifest!E:E,"MCPO")</f>
        <v>0</v>
      </c>
      <c r="Y28" s="13">
        <f t="shared" si="30"/>
        <v>0</v>
      </c>
      <c r="Z28">
        <f>COUNTIFS(Crewmanifest!F:F,'Speziesanteile nach Abteilungen'!A26,Crewmanifest!H:H,"Ja",Crewmanifest!E:E,"CPO")+COUNTIFS(Crewmanifest!G:G,'Speziesanteile nach Abteilungen'!A26,Crewmanifest!H:H,"Ja",Crewmanifest!E:E,"CPO")</f>
        <v>0</v>
      </c>
      <c r="AA28" s="13">
        <f t="shared" si="31"/>
        <v>0</v>
      </c>
      <c r="AB28">
        <f>COUNTIFS(Crewmanifest!F:F,'Speziesanteile nach Abteilungen'!A26,Crewmanifest!H:H,"Ja",Crewmanifest!E:E,"PO")+COUNTIFS(Crewmanifest!G:G,'Speziesanteile nach Abteilungen'!A26,Crewmanifest!H:H,"Ja",Crewmanifest!E:E,"PO")</f>
        <v>0</v>
      </c>
      <c r="AC28" s="13">
        <f t="shared" si="32"/>
        <v>0</v>
      </c>
    </row>
    <row r="29" spans="1:29">
      <c r="A29" s="2" t="s">
        <v>171</v>
      </c>
      <c r="B29">
        <f t="shared" si="20"/>
        <v>0</v>
      </c>
      <c r="C29" s="13">
        <f t="shared" si="21"/>
        <v>0</v>
      </c>
      <c r="D29">
        <f t="shared" si="22"/>
        <v>0</v>
      </c>
      <c r="E29" s="13">
        <f t="shared" si="21"/>
        <v>0</v>
      </c>
      <c r="F29">
        <f>COUNTIFS(Crewmanifest!F:F,'Speziesanteile nach Abteilungen'!A27,Crewmanifest!H:H,"Ja",Crewmanifest!E:E,"CM")+COUNTIFS(Crewmanifest!G:G,'Speziesanteile nach Abteilungen'!A27,Crewmanifest!H:H,"Ja",Crewmanifest!E:E,"CM")</f>
        <v>0</v>
      </c>
      <c r="G29" s="13">
        <f t="shared" ref="G29" si="47">F29/F$3</f>
        <v>0</v>
      </c>
      <c r="H29">
        <f>COUNTIFS(Crewmanifest!F:F,'Speziesanteile nach Abteilungen'!A27,Crewmanifest!H:H,"Ja",Crewmanifest!E:E,"Kadett")+COUNTIFS(Crewmanifest!G:G,'Speziesanteile nach Abteilungen'!A27,Crewmanifest!H:H,"Ja",Crewmanifest!E:E,"Kadett")</f>
        <v>0</v>
      </c>
      <c r="I29" s="13">
        <f t="shared" ref="I29" si="48">H29/H$3</f>
        <v>0</v>
      </c>
      <c r="K29">
        <f>COUNTIFS(Crewmanifest!F:F,'Speziesanteile nach Abteilungen'!A27,Crewmanifest!H:H,"Ja",Crewmanifest!E:E,"Captain")+COUNTIFS(Crewmanifest!G:G,'Speziesanteile nach Abteilungen'!A27,Crewmanifest!H:H,"Ja",Crewmanifest!E:E,"Captain")</f>
        <v>0</v>
      </c>
      <c r="L29" s="13">
        <f t="shared" ref="L29" si="49">K29/K$3</f>
        <v>0</v>
      </c>
      <c r="M29">
        <f>COUNTIFS(Crewmanifest!F:F,'Speziesanteile nach Abteilungen'!A27,Crewmanifest!H:H,"Ja",Crewmanifest!E:E,"Commander")+COUNTIFS(Crewmanifest!G:G,'Speziesanteile nach Abteilungen'!A27,Crewmanifest!H:H,"Ja",Crewmanifest!E:E,"Commander")</f>
        <v>0</v>
      </c>
      <c r="N29" s="13">
        <f t="shared" ref="N29" si="50">M29/M$3</f>
        <v>0</v>
      </c>
      <c r="O29">
        <f>COUNTIFS(Crewmanifest!F:F,'Speziesanteile nach Abteilungen'!A27,Crewmanifest!H:H,"Ja",Crewmanifest!E:E,"Lieutenant Commander")+COUNTIFS(Crewmanifest!G:G,'Speziesanteile nach Abteilungen'!A27,Crewmanifest!H:H,"Ja",Crewmanifest!E:E,"Lieutenant Commander")</f>
        <v>0</v>
      </c>
      <c r="P29" s="13">
        <f t="shared" ref="P29:R29" si="51">O29/O$3</f>
        <v>0</v>
      </c>
      <c r="Q29">
        <f>COUNTIFS(Crewmanifest!F:F,'Speziesanteile nach Abteilungen'!A27,Crewmanifest!H:H,"Ja",Crewmanifest!E:E,"Lieutenant")+COUNTIFS(Crewmanifest!G:G,'Speziesanteile nach Abteilungen'!A27,Crewmanifest!H:H,"Ja",Crewmanifest!E:E,"Lieutenant")</f>
        <v>0</v>
      </c>
      <c r="R29" s="13">
        <f t="shared" si="51"/>
        <v>0</v>
      </c>
      <c r="S29">
        <f>COUNTIFS(Crewmanifest!F:F,'Speziesanteile nach Abteilungen'!A27,Crewmanifest!H:H,"Ja",Crewmanifest!E:E,"Lieutenant JG")+COUNTIFS(Crewmanifest!G:G,'Speziesanteile nach Abteilungen'!A27,Crewmanifest!H:H,"Ja",Crewmanifest!E:E,"Lieutenant JG")</f>
        <v>0</v>
      </c>
      <c r="T29" s="13">
        <f t="shared" ref="T29" si="52">S29/S$3</f>
        <v>0</v>
      </c>
      <c r="U29">
        <f>COUNTIFS(Crewmanifest!F:F,'Speziesanteile nach Abteilungen'!A27,Crewmanifest!H:H,"Ja",Crewmanifest!E:E,"Ensign")+COUNTIFS(Crewmanifest!G:G,'Speziesanteile nach Abteilungen'!A27,Crewmanifest!H:H,"Ja",Crewmanifest!E:E,"Ensign")</f>
        <v>0</v>
      </c>
      <c r="V29" s="13">
        <f t="shared" ref="V29" si="53">U29/U$3</f>
        <v>0</v>
      </c>
      <c r="X29">
        <f>COUNTIFS(Crewmanifest!F:F,'Speziesanteile nach Abteilungen'!A27,Crewmanifest!H:H,"Ja",Crewmanifest!E:E,"MCPO")+COUNTIFS(Crewmanifest!G:G,'Speziesanteile nach Abteilungen'!A27,Crewmanifest!H:H,"Ja",Crewmanifest!E:E,"MCPO")</f>
        <v>0</v>
      </c>
      <c r="Y29" s="13">
        <f t="shared" si="30"/>
        <v>0</v>
      </c>
      <c r="Z29">
        <f>COUNTIFS(Crewmanifest!F:F,'Speziesanteile nach Abteilungen'!A27,Crewmanifest!H:H,"Ja",Crewmanifest!E:E,"CPO")+COUNTIFS(Crewmanifest!G:G,'Speziesanteile nach Abteilungen'!A27,Crewmanifest!H:H,"Ja",Crewmanifest!E:E,"CPO")</f>
        <v>0</v>
      </c>
      <c r="AA29" s="13">
        <f t="shared" si="31"/>
        <v>0</v>
      </c>
      <c r="AB29">
        <f>COUNTIFS(Crewmanifest!F:F,'Speziesanteile nach Abteilungen'!A27,Crewmanifest!H:H,"Ja",Crewmanifest!E:E,"PO")+COUNTIFS(Crewmanifest!G:G,'Speziesanteile nach Abteilungen'!A27,Crewmanifest!H:H,"Ja",Crewmanifest!E:E,"PO")</f>
        <v>0</v>
      </c>
      <c r="AC29" s="13">
        <f t="shared" si="32"/>
        <v>0</v>
      </c>
    </row>
    <row r="30" spans="1:29">
      <c r="A30" s="2" t="s">
        <v>56</v>
      </c>
      <c r="B30">
        <f t="shared" si="20"/>
        <v>0</v>
      </c>
      <c r="C30" s="13">
        <f t="shared" si="21"/>
        <v>0</v>
      </c>
      <c r="D30">
        <f t="shared" si="22"/>
        <v>1</v>
      </c>
      <c r="E30" s="13">
        <f t="shared" si="21"/>
        <v>2.564102564102564E-2</v>
      </c>
      <c r="F30">
        <f>COUNTIFS(Crewmanifest!F:F,'Speziesanteile nach Abteilungen'!A28,Crewmanifest!H:H,"Ja",Crewmanifest!E:E,"CM")+COUNTIFS(Crewmanifest!G:G,'Speziesanteile nach Abteilungen'!A28,Crewmanifest!H:H,"Ja",Crewmanifest!E:E,"CM")</f>
        <v>0</v>
      </c>
      <c r="G30" s="13">
        <f t="shared" ref="G30" si="54">F30/F$3</f>
        <v>0</v>
      </c>
      <c r="H30">
        <f>COUNTIFS(Crewmanifest!F:F,'Speziesanteile nach Abteilungen'!A28,Crewmanifest!H:H,"Ja",Crewmanifest!E:E,"Kadett")+COUNTIFS(Crewmanifest!G:G,'Speziesanteile nach Abteilungen'!A28,Crewmanifest!H:H,"Ja",Crewmanifest!E:E,"Kadett")</f>
        <v>0</v>
      </c>
      <c r="I30" s="13">
        <f t="shared" ref="I30" si="55">H30/H$3</f>
        <v>0</v>
      </c>
      <c r="K30">
        <f>COUNTIFS(Crewmanifest!F:F,'Speziesanteile nach Abteilungen'!A28,Crewmanifest!H:H,"Ja",Crewmanifest!E:E,"Captain")+COUNTIFS(Crewmanifest!G:G,'Speziesanteile nach Abteilungen'!A28,Crewmanifest!H:H,"Ja",Crewmanifest!E:E,"Captain")</f>
        <v>0</v>
      </c>
      <c r="L30" s="13">
        <f t="shared" ref="L30" si="56">K30/K$3</f>
        <v>0</v>
      </c>
      <c r="M30">
        <f>COUNTIFS(Crewmanifest!F:F,'Speziesanteile nach Abteilungen'!A28,Crewmanifest!H:H,"Ja",Crewmanifest!E:E,"Commander")+COUNTIFS(Crewmanifest!G:G,'Speziesanteile nach Abteilungen'!A28,Crewmanifest!H:H,"Ja",Crewmanifest!E:E,"Commander")</f>
        <v>0</v>
      </c>
      <c r="N30" s="13">
        <f t="shared" ref="N30" si="57">M30/M$3</f>
        <v>0</v>
      </c>
      <c r="O30">
        <f>COUNTIFS(Crewmanifest!F:F,'Speziesanteile nach Abteilungen'!A28,Crewmanifest!H:H,"Ja",Crewmanifest!E:E,"Lieutenant Commander")+COUNTIFS(Crewmanifest!G:G,'Speziesanteile nach Abteilungen'!A28,Crewmanifest!H:H,"Ja",Crewmanifest!E:E,"Lieutenant Commander")</f>
        <v>0</v>
      </c>
      <c r="P30" s="13">
        <f t="shared" ref="P30:R30" si="58">O30/O$3</f>
        <v>0</v>
      </c>
      <c r="Q30">
        <f>COUNTIFS(Crewmanifest!F:F,'Speziesanteile nach Abteilungen'!A28,Crewmanifest!H:H,"Ja",Crewmanifest!E:E,"Lieutenant")+COUNTIFS(Crewmanifest!G:G,'Speziesanteile nach Abteilungen'!A28,Crewmanifest!H:H,"Ja",Crewmanifest!E:E,"Lieutenant")</f>
        <v>1</v>
      </c>
      <c r="R30" s="13">
        <f t="shared" si="58"/>
        <v>0.14285714285714285</v>
      </c>
      <c r="S30">
        <f>COUNTIFS(Crewmanifest!F:F,'Speziesanteile nach Abteilungen'!A28,Crewmanifest!H:H,"Ja",Crewmanifest!E:E,"Lieutenant JG")+COUNTIFS(Crewmanifest!G:G,'Speziesanteile nach Abteilungen'!A28,Crewmanifest!H:H,"Ja",Crewmanifest!E:E,"Lieutenant JG")</f>
        <v>0</v>
      </c>
      <c r="T30" s="13">
        <f t="shared" ref="T30" si="59">S30/S$3</f>
        <v>0</v>
      </c>
      <c r="U30">
        <f>COUNTIFS(Crewmanifest!F:F,'Speziesanteile nach Abteilungen'!A28,Crewmanifest!H:H,"Ja",Crewmanifest!E:E,"Ensign")+COUNTIFS(Crewmanifest!G:G,'Speziesanteile nach Abteilungen'!A28,Crewmanifest!H:H,"Ja",Crewmanifest!E:E,"Ensign")</f>
        <v>0</v>
      </c>
      <c r="V30" s="13">
        <f t="shared" ref="V30" si="60">U30/U$3</f>
        <v>0</v>
      </c>
      <c r="X30">
        <f>COUNTIFS(Crewmanifest!F:F,'Speziesanteile nach Abteilungen'!A28,Crewmanifest!H:H,"Ja",Crewmanifest!E:E,"MCPO")+COUNTIFS(Crewmanifest!G:G,'Speziesanteile nach Abteilungen'!A28,Crewmanifest!H:H,"Ja",Crewmanifest!E:E,"MCPO")</f>
        <v>0</v>
      </c>
      <c r="Y30" s="13">
        <f t="shared" si="30"/>
        <v>0</v>
      </c>
      <c r="Z30">
        <f>COUNTIFS(Crewmanifest!F:F,'Speziesanteile nach Abteilungen'!A28,Crewmanifest!H:H,"Ja",Crewmanifest!E:E,"CPO")+COUNTIFS(Crewmanifest!G:G,'Speziesanteile nach Abteilungen'!A28,Crewmanifest!H:H,"Ja",Crewmanifest!E:E,"CPO")</f>
        <v>0</v>
      </c>
      <c r="AA30" s="13">
        <f t="shared" si="31"/>
        <v>0</v>
      </c>
      <c r="AB30">
        <f>COUNTIFS(Crewmanifest!F:F,'Speziesanteile nach Abteilungen'!A28,Crewmanifest!H:H,"Ja",Crewmanifest!E:E,"PO")+COUNTIFS(Crewmanifest!G:G,'Speziesanteile nach Abteilungen'!A28,Crewmanifest!H:H,"Ja",Crewmanifest!E:E,"PO")</f>
        <v>1</v>
      </c>
      <c r="AC30" s="13">
        <f t="shared" si="32"/>
        <v>3.125E-2</v>
      </c>
    </row>
    <row r="31" spans="1:29">
      <c r="A31" s="2" t="s">
        <v>13</v>
      </c>
      <c r="B31">
        <f t="shared" si="20"/>
        <v>1</v>
      </c>
      <c r="C31" s="13">
        <f t="shared" si="21"/>
        <v>0.05</v>
      </c>
      <c r="D31">
        <f t="shared" si="22"/>
        <v>5</v>
      </c>
      <c r="E31" s="13">
        <f t="shared" si="21"/>
        <v>0.12820512820512819</v>
      </c>
      <c r="F31">
        <f>COUNTIFS(Crewmanifest!F:F,'Speziesanteile nach Abteilungen'!A29,Crewmanifest!H:H,"Ja",Crewmanifest!E:E,"CM")+COUNTIFS(Crewmanifest!G:G,'Speziesanteile nach Abteilungen'!A29,Crewmanifest!H:H,"Ja",Crewmanifest!E:E,"CM")</f>
        <v>1</v>
      </c>
      <c r="G31" s="13">
        <f t="shared" ref="G31" si="61">F31/F$3</f>
        <v>4.3478260869565216E-2</v>
      </c>
      <c r="H31">
        <f>COUNTIFS(Crewmanifest!F:F,'Speziesanteile nach Abteilungen'!A29,Crewmanifest!H:H,"Ja",Crewmanifest!E:E,"Kadett")+COUNTIFS(Crewmanifest!G:G,'Speziesanteile nach Abteilungen'!A29,Crewmanifest!H:H,"Ja",Crewmanifest!E:E,"Kadett")</f>
        <v>0</v>
      </c>
      <c r="I31" s="13">
        <f t="shared" ref="I31" si="62">H31/H$3</f>
        <v>0</v>
      </c>
      <c r="K31">
        <f>COUNTIFS(Crewmanifest!F:F,'Speziesanteile nach Abteilungen'!A29,Crewmanifest!H:H,"Ja",Crewmanifest!E:E,"Captain")+COUNTIFS(Crewmanifest!G:G,'Speziesanteile nach Abteilungen'!A29,Crewmanifest!H:H,"Ja",Crewmanifest!E:E,"Captain")</f>
        <v>0</v>
      </c>
      <c r="L31" s="13">
        <f t="shared" ref="L31" si="63">K31/K$3</f>
        <v>0</v>
      </c>
      <c r="M31">
        <f>COUNTIFS(Crewmanifest!F:F,'Speziesanteile nach Abteilungen'!A29,Crewmanifest!H:H,"Ja",Crewmanifest!E:E,"Commander")+COUNTIFS(Crewmanifest!G:G,'Speziesanteile nach Abteilungen'!A29,Crewmanifest!H:H,"Ja",Crewmanifest!E:E,"Commander")</f>
        <v>0</v>
      </c>
      <c r="N31" s="13">
        <f t="shared" ref="N31" si="64">M31/M$3</f>
        <v>0</v>
      </c>
      <c r="O31">
        <f>COUNTIFS(Crewmanifest!F:F,'Speziesanteile nach Abteilungen'!A29,Crewmanifest!H:H,"Ja",Crewmanifest!E:E,"Lieutenant Commander")+COUNTIFS(Crewmanifest!G:G,'Speziesanteile nach Abteilungen'!A29,Crewmanifest!H:H,"Ja",Crewmanifest!E:E,"Lieutenant Commander")</f>
        <v>0</v>
      </c>
      <c r="P31" s="13">
        <f t="shared" ref="P31:R31" si="65">O31/O$3</f>
        <v>0</v>
      </c>
      <c r="Q31">
        <f>COUNTIFS(Crewmanifest!F:F,'Speziesanteile nach Abteilungen'!A29,Crewmanifest!H:H,"Ja",Crewmanifest!E:E,"Lieutenant")+COUNTIFS(Crewmanifest!G:G,'Speziesanteile nach Abteilungen'!A29,Crewmanifest!H:H,"Ja",Crewmanifest!E:E,"Lieutenant")</f>
        <v>0</v>
      </c>
      <c r="R31" s="13">
        <f t="shared" si="65"/>
        <v>0</v>
      </c>
      <c r="S31">
        <f>COUNTIFS(Crewmanifest!F:F,'Speziesanteile nach Abteilungen'!A29,Crewmanifest!H:H,"Ja",Crewmanifest!E:E,"Lieutenant JG")+COUNTIFS(Crewmanifest!G:G,'Speziesanteile nach Abteilungen'!A29,Crewmanifest!H:H,"Ja",Crewmanifest!E:E,"Lieutenant JG")</f>
        <v>1</v>
      </c>
      <c r="T31" s="13">
        <f t="shared" ref="T31" si="66">S31/S$3</f>
        <v>0.16666666666666666</v>
      </c>
      <c r="U31">
        <f>COUNTIFS(Crewmanifest!F:F,'Speziesanteile nach Abteilungen'!A29,Crewmanifest!H:H,"Ja",Crewmanifest!E:E,"Ensign")+COUNTIFS(Crewmanifest!G:G,'Speziesanteile nach Abteilungen'!A29,Crewmanifest!H:H,"Ja",Crewmanifest!E:E,"Ensign")</f>
        <v>0</v>
      </c>
      <c r="V31" s="13">
        <f t="shared" ref="V31" si="67">U31/U$3</f>
        <v>0</v>
      </c>
      <c r="X31">
        <f>COUNTIFS(Crewmanifest!F:F,'Speziesanteile nach Abteilungen'!A29,Crewmanifest!H:H,"Ja",Crewmanifest!E:E,"MCPO")+COUNTIFS(Crewmanifest!G:G,'Speziesanteile nach Abteilungen'!A29,Crewmanifest!H:H,"Ja",Crewmanifest!E:E,"MCPO")</f>
        <v>0</v>
      </c>
      <c r="Y31" s="13">
        <f t="shared" si="30"/>
        <v>0</v>
      </c>
      <c r="Z31">
        <f>COUNTIFS(Crewmanifest!F:F,'Speziesanteile nach Abteilungen'!A29,Crewmanifest!H:H,"Ja",Crewmanifest!E:E,"CPO")+COUNTIFS(Crewmanifest!G:G,'Speziesanteile nach Abteilungen'!A29,Crewmanifest!H:H,"Ja",Crewmanifest!E:E,"CPO")</f>
        <v>0</v>
      </c>
      <c r="AA31" s="13">
        <f t="shared" si="31"/>
        <v>0</v>
      </c>
      <c r="AB31">
        <f>COUNTIFS(Crewmanifest!F:F,'Speziesanteile nach Abteilungen'!A29,Crewmanifest!H:H,"Ja",Crewmanifest!E:E,"PO")+COUNTIFS(Crewmanifest!G:G,'Speziesanteile nach Abteilungen'!A29,Crewmanifest!H:H,"Ja",Crewmanifest!E:E,"PO")</f>
        <v>5</v>
      </c>
      <c r="AC31" s="13">
        <f t="shared" si="32"/>
        <v>0.15625</v>
      </c>
    </row>
    <row r="32" spans="1:29">
      <c r="A32" s="2" t="s">
        <v>172</v>
      </c>
      <c r="B32">
        <f t="shared" si="20"/>
        <v>1</v>
      </c>
      <c r="C32" s="13">
        <f t="shared" si="21"/>
        <v>0.05</v>
      </c>
      <c r="D32">
        <f t="shared" si="22"/>
        <v>0</v>
      </c>
      <c r="E32" s="13">
        <f t="shared" si="21"/>
        <v>0</v>
      </c>
      <c r="F32">
        <f>COUNTIFS(Crewmanifest!F:F,'Speziesanteile nach Abteilungen'!A30,Crewmanifest!H:H,"Ja",Crewmanifest!E:E,"CM")+COUNTIFS(Crewmanifest!G:G,'Speziesanteile nach Abteilungen'!A30,Crewmanifest!H:H,"Ja",Crewmanifest!E:E,"CM")</f>
        <v>1</v>
      </c>
      <c r="G32" s="13">
        <f t="shared" ref="G32" si="68">F32/F$3</f>
        <v>4.3478260869565216E-2</v>
      </c>
      <c r="H32">
        <f>COUNTIFS(Crewmanifest!F:F,'Speziesanteile nach Abteilungen'!A30,Crewmanifest!H:H,"Ja",Crewmanifest!E:E,"Kadett")+COUNTIFS(Crewmanifest!G:G,'Speziesanteile nach Abteilungen'!A30,Crewmanifest!H:H,"Ja",Crewmanifest!E:E,"Kadett")</f>
        <v>0</v>
      </c>
      <c r="I32" s="13">
        <f t="shared" ref="I32" si="69">H32/H$3</f>
        <v>0</v>
      </c>
      <c r="K32">
        <f>COUNTIFS(Crewmanifest!F:F,'Speziesanteile nach Abteilungen'!A30,Crewmanifest!H:H,"Ja",Crewmanifest!E:E,"Captain")+COUNTIFS(Crewmanifest!G:G,'Speziesanteile nach Abteilungen'!A30,Crewmanifest!H:H,"Ja",Crewmanifest!E:E,"Captain")</f>
        <v>0</v>
      </c>
      <c r="L32" s="13">
        <f t="shared" ref="L32" si="70">K32/K$3</f>
        <v>0</v>
      </c>
      <c r="M32">
        <f>COUNTIFS(Crewmanifest!F:F,'Speziesanteile nach Abteilungen'!A30,Crewmanifest!H:H,"Ja",Crewmanifest!E:E,"Commander")+COUNTIFS(Crewmanifest!G:G,'Speziesanteile nach Abteilungen'!A30,Crewmanifest!H:H,"Ja",Crewmanifest!E:E,"Commander")</f>
        <v>0</v>
      </c>
      <c r="N32" s="13">
        <f t="shared" ref="N32" si="71">M32/M$3</f>
        <v>0</v>
      </c>
      <c r="O32">
        <f>COUNTIFS(Crewmanifest!F:F,'Speziesanteile nach Abteilungen'!A30,Crewmanifest!H:H,"Ja",Crewmanifest!E:E,"Lieutenant Commander")+COUNTIFS(Crewmanifest!G:G,'Speziesanteile nach Abteilungen'!A30,Crewmanifest!H:H,"Ja",Crewmanifest!E:E,"Lieutenant Commander")</f>
        <v>0</v>
      </c>
      <c r="P32" s="13">
        <f t="shared" ref="P32:R32" si="72">O32/O$3</f>
        <v>0</v>
      </c>
      <c r="Q32">
        <f>COUNTIFS(Crewmanifest!F:F,'Speziesanteile nach Abteilungen'!A30,Crewmanifest!H:H,"Ja",Crewmanifest!E:E,"Lieutenant")+COUNTIFS(Crewmanifest!G:G,'Speziesanteile nach Abteilungen'!A30,Crewmanifest!H:H,"Ja",Crewmanifest!E:E,"Lieutenant")</f>
        <v>0</v>
      </c>
      <c r="R32" s="13">
        <f t="shared" si="72"/>
        <v>0</v>
      </c>
      <c r="S32">
        <f>COUNTIFS(Crewmanifest!F:F,'Speziesanteile nach Abteilungen'!A30,Crewmanifest!H:H,"Ja",Crewmanifest!E:E,"Lieutenant JG")+COUNTIFS(Crewmanifest!G:G,'Speziesanteile nach Abteilungen'!A30,Crewmanifest!H:H,"Ja",Crewmanifest!E:E,"Lieutenant JG")</f>
        <v>0</v>
      </c>
      <c r="T32" s="13">
        <f t="shared" ref="T32" si="73">S32/S$3</f>
        <v>0</v>
      </c>
      <c r="U32">
        <f>COUNTIFS(Crewmanifest!F:F,'Speziesanteile nach Abteilungen'!A30,Crewmanifest!H:H,"Ja",Crewmanifest!E:E,"Ensign")+COUNTIFS(Crewmanifest!G:G,'Speziesanteile nach Abteilungen'!A30,Crewmanifest!H:H,"Ja",Crewmanifest!E:E,"Ensign")</f>
        <v>0</v>
      </c>
      <c r="V32" s="13">
        <f t="shared" ref="V32" si="74">U32/U$3</f>
        <v>0</v>
      </c>
      <c r="X32">
        <f>COUNTIFS(Crewmanifest!F:F,'Speziesanteile nach Abteilungen'!A30,Crewmanifest!H:H,"Ja",Crewmanifest!E:E,"MCPO")+COUNTIFS(Crewmanifest!G:G,'Speziesanteile nach Abteilungen'!A30,Crewmanifest!H:H,"Ja",Crewmanifest!E:E,"MCPO")</f>
        <v>0</v>
      </c>
      <c r="Y32" s="13">
        <f t="shared" si="30"/>
        <v>0</v>
      </c>
      <c r="Z32">
        <f>COUNTIFS(Crewmanifest!F:F,'Speziesanteile nach Abteilungen'!A30,Crewmanifest!H:H,"Ja",Crewmanifest!E:E,"CPO")+COUNTIFS(Crewmanifest!G:G,'Speziesanteile nach Abteilungen'!A30,Crewmanifest!H:H,"Ja",Crewmanifest!E:E,"CPO")</f>
        <v>0</v>
      </c>
      <c r="AA32" s="13">
        <f t="shared" si="31"/>
        <v>0</v>
      </c>
      <c r="AB32">
        <f>COUNTIFS(Crewmanifest!F:F,'Speziesanteile nach Abteilungen'!A30,Crewmanifest!H:H,"Ja",Crewmanifest!E:E,"PO")+COUNTIFS(Crewmanifest!G:G,'Speziesanteile nach Abteilungen'!A30,Crewmanifest!H:H,"Ja",Crewmanifest!E:E,"PO")</f>
        <v>0</v>
      </c>
      <c r="AC32" s="13">
        <f t="shared" si="32"/>
        <v>0</v>
      </c>
    </row>
    <row r="33" spans="1:29">
      <c r="A33" t="s">
        <v>167</v>
      </c>
      <c r="B33">
        <f t="shared" si="20"/>
        <v>0</v>
      </c>
      <c r="C33" s="13">
        <f t="shared" si="21"/>
        <v>0</v>
      </c>
      <c r="D33">
        <f t="shared" si="22"/>
        <v>1</v>
      </c>
      <c r="E33" s="13">
        <f t="shared" si="21"/>
        <v>2.564102564102564E-2</v>
      </c>
      <c r="F33">
        <f>COUNTIFS(Crewmanifest!F:F,'Speziesanteile nach Abteilungen'!A31,Crewmanifest!H:H,"Ja",Crewmanifest!E:E,"CM")+COUNTIFS(Crewmanifest!G:G,'Speziesanteile nach Abteilungen'!A31,Crewmanifest!H:H,"Ja",Crewmanifest!E:E,"CM")</f>
        <v>0</v>
      </c>
      <c r="G33" s="13">
        <f t="shared" ref="G33" si="75">F33/F$3</f>
        <v>0</v>
      </c>
      <c r="H33">
        <f>COUNTIFS(Crewmanifest!F:F,'Speziesanteile nach Abteilungen'!A31,Crewmanifest!H:H,"Ja",Crewmanifest!E:E,"Kadett")+COUNTIFS(Crewmanifest!G:G,'Speziesanteile nach Abteilungen'!A31,Crewmanifest!H:H,"Ja",Crewmanifest!E:E,"Kadett")</f>
        <v>0</v>
      </c>
      <c r="I33" s="13">
        <f t="shared" ref="I33" si="76">H33/H$3</f>
        <v>0</v>
      </c>
      <c r="K33">
        <f>COUNTIFS(Crewmanifest!F:F,'Speziesanteile nach Abteilungen'!A31,Crewmanifest!H:H,"Ja",Crewmanifest!E:E,"Captain")+COUNTIFS(Crewmanifest!G:G,'Speziesanteile nach Abteilungen'!A31,Crewmanifest!H:H,"Ja",Crewmanifest!E:E,"Captain")</f>
        <v>0</v>
      </c>
      <c r="L33" s="13">
        <f t="shared" ref="L33" si="77">K33/K$3</f>
        <v>0</v>
      </c>
      <c r="M33">
        <f>COUNTIFS(Crewmanifest!F:F,'Speziesanteile nach Abteilungen'!A31,Crewmanifest!H:H,"Ja",Crewmanifest!E:E,"Commander")+COUNTIFS(Crewmanifest!G:G,'Speziesanteile nach Abteilungen'!A31,Crewmanifest!H:H,"Ja",Crewmanifest!E:E,"Commander")</f>
        <v>0</v>
      </c>
      <c r="N33" s="13">
        <f t="shared" ref="N33" si="78">M33/M$3</f>
        <v>0</v>
      </c>
      <c r="O33">
        <f>COUNTIFS(Crewmanifest!F:F,'Speziesanteile nach Abteilungen'!A31,Crewmanifest!H:H,"Ja",Crewmanifest!E:E,"Lieutenant Commander")+COUNTIFS(Crewmanifest!G:G,'Speziesanteile nach Abteilungen'!A31,Crewmanifest!H:H,"Ja",Crewmanifest!E:E,"Lieutenant Commander")</f>
        <v>0</v>
      </c>
      <c r="P33" s="13">
        <f t="shared" ref="P33:R33" si="79">O33/O$3</f>
        <v>0</v>
      </c>
      <c r="Q33">
        <f>COUNTIFS(Crewmanifest!F:F,'Speziesanteile nach Abteilungen'!A31,Crewmanifest!H:H,"Ja",Crewmanifest!E:E,"Lieutenant")+COUNTIFS(Crewmanifest!G:G,'Speziesanteile nach Abteilungen'!A31,Crewmanifest!H:H,"Ja",Crewmanifest!E:E,"Lieutenant")</f>
        <v>0</v>
      </c>
      <c r="R33" s="13">
        <f t="shared" si="79"/>
        <v>0</v>
      </c>
      <c r="S33">
        <f>COUNTIFS(Crewmanifest!F:F,'Speziesanteile nach Abteilungen'!A31,Crewmanifest!H:H,"Ja",Crewmanifest!E:E,"Lieutenant JG")+COUNTIFS(Crewmanifest!G:G,'Speziesanteile nach Abteilungen'!A31,Crewmanifest!H:H,"Ja",Crewmanifest!E:E,"Lieutenant JG")</f>
        <v>0</v>
      </c>
      <c r="T33" s="13">
        <f t="shared" ref="T33" si="80">S33/S$3</f>
        <v>0</v>
      </c>
      <c r="U33">
        <f>COUNTIFS(Crewmanifest!F:F,'Speziesanteile nach Abteilungen'!A31,Crewmanifest!H:H,"Ja",Crewmanifest!E:E,"Ensign")+COUNTIFS(Crewmanifest!G:G,'Speziesanteile nach Abteilungen'!A31,Crewmanifest!H:H,"Ja",Crewmanifest!E:E,"Ensign")</f>
        <v>0</v>
      </c>
      <c r="V33" s="13">
        <f t="shared" ref="V33" si="81">U33/U$3</f>
        <v>0</v>
      </c>
      <c r="X33">
        <f>COUNTIFS(Crewmanifest!F:F,'Speziesanteile nach Abteilungen'!A31,Crewmanifest!H:H,"Ja",Crewmanifest!E:E,"MCPO")+COUNTIFS(Crewmanifest!G:G,'Speziesanteile nach Abteilungen'!A31,Crewmanifest!H:H,"Ja",Crewmanifest!E:E,"MCPO")</f>
        <v>0</v>
      </c>
      <c r="Y33" s="13">
        <f t="shared" si="30"/>
        <v>0</v>
      </c>
      <c r="Z33">
        <f>COUNTIFS(Crewmanifest!F:F,'Speziesanteile nach Abteilungen'!A31,Crewmanifest!H:H,"Ja",Crewmanifest!E:E,"CPO")+COUNTIFS(Crewmanifest!G:G,'Speziesanteile nach Abteilungen'!A31,Crewmanifest!H:H,"Ja",Crewmanifest!E:E,"CPO")</f>
        <v>0</v>
      </c>
      <c r="AA33" s="13">
        <f t="shared" si="31"/>
        <v>0</v>
      </c>
      <c r="AB33">
        <f>COUNTIFS(Crewmanifest!F:F,'Speziesanteile nach Abteilungen'!A31,Crewmanifest!H:H,"Ja",Crewmanifest!E:E,"PO")+COUNTIFS(Crewmanifest!G:G,'Speziesanteile nach Abteilungen'!A31,Crewmanifest!H:H,"Ja",Crewmanifest!E:E,"PO")</f>
        <v>1</v>
      </c>
      <c r="AC33" s="13">
        <f t="shared" si="32"/>
        <v>3.125E-2</v>
      </c>
    </row>
    <row r="34" spans="1:29">
      <c r="A34" t="s">
        <v>169</v>
      </c>
      <c r="B34">
        <f t="shared" si="20"/>
        <v>0</v>
      </c>
      <c r="C34" s="13">
        <f t="shared" si="21"/>
        <v>0</v>
      </c>
      <c r="D34">
        <f t="shared" si="22"/>
        <v>1</v>
      </c>
      <c r="E34" s="13">
        <f t="shared" si="21"/>
        <v>2.564102564102564E-2</v>
      </c>
      <c r="F34">
        <f>COUNTIFS(Crewmanifest!F:F,'Speziesanteile nach Abteilungen'!A32,Crewmanifest!H:H,"Ja",Crewmanifest!E:E,"CM")+COUNTIFS(Crewmanifest!G:G,'Speziesanteile nach Abteilungen'!A32,Crewmanifest!H:H,"Ja",Crewmanifest!E:E,"CM")</f>
        <v>0</v>
      </c>
      <c r="G34" s="13">
        <f t="shared" ref="G34" si="82">F34/F$3</f>
        <v>0</v>
      </c>
      <c r="H34">
        <f>COUNTIFS(Crewmanifest!F:F,'Speziesanteile nach Abteilungen'!A32,Crewmanifest!H:H,"Ja",Crewmanifest!E:E,"Kadett")+COUNTIFS(Crewmanifest!G:G,'Speziesanteile nach Abteilungen'!A32,Crewmanifest!H:H,"Ja",Crewmanifest!E:E,"Kadett")</f>
        <v>0</v>
      </c>
      <c r="I34" s="13">
        <f t="shared" ref="I34" si="83">H34/H$3</f>
        <v>0</v>
      </c>
      <c r="K34">
        <f>COUNTIFS(Crewmanifest!F:F,'Speziesanteile nach Abteilungen'!A32,Crewmanifest!H:H,"Ja",Crewmanifest!E:E,"Captain")+COUNTIFS(Crewmanifest!G:G,'Speziesanteile nach Abteilungen'!A32,Crewmanifest!H:H,"Ja",Crewmanifest!E:E,"Captain")</f>
        <v>0</v>
      </c>
      <c r="L34" s="13">
        <f t="shared" ref="L34" si="84">K34/K$3</f>
        <v>0</v>
      </c>
      <c r="M34">
        <f>COUNTIFS(Crewmanifest!F:F,'Speziesanteile nach Abteilungen'!A32,Crewmanifest!H:H,"Ja",Crewmanifest!E:E,"Commander")+COUNTIFS(Crewmanifest!G:G,'Speziesanteile nach Abteilungen'!A32,Crewmanifest!H:H,"Ja",Crewmanifest!E:E,"Commander")</f>
        <v>0</v>
      </c>
      <c r="N34" s="13">
        <f t="shared" ref="N34" si="85">M34/M$3</f>
        <v>0</v>
      </c>
      <c r="O34">
        <f>COUNTIFS(Crewmanifest!F:F,'Speziesanteile nach Abteilungen'!A32,Crewmanifest!H:H,"Ja",Crewmanifest!E:E,"Lieutenant Commander")+COUNTIFS(Crewmanifest!G:G,'Speziesanteile nach Abteilungen'!A32,Crewmanifest!H:H,"Ja",Crewmanifest!E:E,"Lieutenant Commander")</f>
        <v>0</v>
      </c>
      <c r="P34" s="13">
        <f t="shared" ref="P34:R34" si="86">O34/O$3</f>
        <v>0</v>
      </c>
      <c r="Q34">
        <f>COUNTIFS(Crewmanifest!F:F,'Speziesanteile nach Abteilungen'!A32,Crewmanifest!H:H,"Ja",Crewmanifest!E:E,"Lieutenant")+COUNTIFS(Crewmanifest!G:G,'Speziesanteile nach Abteilungen'!A32,Crewmanifest!H:H,"Ja",Crewmanifest!E:E,"Lieutenant")</f>
        <v>0</v>
      </c>
      <c r="R34" s="13">
        <f t="shared" si="86"/>
        <v>0</v>
      </c>
      <c r="S34">
        <f>COUNTIFS(Crewmanifest!F:F,'Speziesanteile nach Abteilungen'!A32,Crewmanifest!H:H,"Ja",Crewmanifest!E:E,"Lieutenant JG")+COUNTIFS(Crewmanifest!G:G,'Speziesanteile nach Abteilungen'!A32,Crewmanifest!H:H,"Ja",Crewmanifest!E:E,"Lieutenant JG")</f>
        <v>0</v>
      </c>
      <c r="T34" s="13">
        <f t="shared" ref="T34" si="87">S34/S$3</f>
        <v>0</v>
      </c>
      <c r="U34">
        <f>COUNTIFS(Crewmanifest!F:F,'Speziesanteile nach Abteilungen'!A32,Crewmanifest!H:H,"Ja",Crewmanifest!E:E,"Ensign")+COUNTIFS(Crewmanifest!G:G,'Speziesanteile nach Abteilungen'!A32,Crewmanifest!H:H,"Ja",Crewmanifest!E:E,"Ensign")</f>
        <v>0</v>
      </c>
      <c r="V34" s="13">
        <f t="shared" ref="V34" si="88">U34/U$3</f>
        <v>0</v>
      </c>
      <c r="X34">
        <f>COUNTIFS(Crewmanifest!F:F,'Speziesanteile nach Abteilungen'!A32,Crewmanifest!H:H,"Ja",Crewmanifest!E:E,"MCPO")+COUNTIFS(Crewmanifest!G:G,'Speziesanteile nach Abteilungen'!A32,Crewmanifest!H:H,"Ja",Crewmanifest!E:E,"MCPO")</f>
        <v>0</v>
      </c>
      <c r="Y34" s="13">
        <f t="shared" si="30"/>
        <v>0</v>
      </c>
      <c r="Z34">
        <f>COUNTIFS(Crewmanifest!F:F,'Speziesanteile nach Abteilungen'!A32,Crewmanifest!H:H,"Ja",Crewmanifest!E:E,"CPO")+COUNTIFS(Crewmanifest!G:G,'Speziesanteile nach Abteilungen'!A32,Crewmanifest!H:H,"Ja",Crewmanifest!E:E,"CPO")</f>
        <v>0</v>
      </c>
      <c r="AA34" s="13">
        <f t="shared" si="31"/>
        <v>0</v>
      </c>
      <c r="AB34">
        <f>COUNTIFS(Crewmanifest!F:F,'Speziesanteile nach Abteilungen'!A32,Crewmanifest!H:H,"Ja",Crewmanifest!E:E,"PO")+COUNTIFS(Crewmanifest!G:G,'Speziesanteile nach Abteilungen'!A32,Crewmanifest!H:H,"Ja",Crewmanifest!E:E,"PO")</f>
        <v>1</v>
      </c>
      <c r="AC34" s="13">
        <f t="shared" si="32"/>
        <v>3.125E-2</v>
      </c>
    </row>
    <row r="35" spans="1:29">
      <c r="A35" s="2" t="s">
        <v>55</v>
      </c>
      <c r="B35">
        <f t="shared" si="20"/>
        <v>0</v>
      </c>
      <c r="C35" s="13">
        <f t="shared" si="21"/>
        <v>0</v>
      </c>
      <c r="D35">
        <f t="shared" si="22"/>
        <v>1</v>
      </c>
      <c r="E35" s="13">
        <f t="shared" si="21"/>
        <v>2.564102564102564E-2</v>
      </c>
      <c r="F35">
        <f>COUNTIFS(Crewmanifest!F:F,'Speziesanteile nach Abteilungen'!A33,Crewmanifest!H:H,"Ja",Crewmanifest!E:E,"CM")+COUNTIFS(Crewmanifest!G:G,'Speziesanteile nach Abteilungen'!A33,Crewmanifest!H:H,"Ja",Crewmanifest!E:E,"CM")</f>
        <v>0</v>
      </c>
      <c r="G35" s="13">
        <f t="shared" ref="G35" si="89">F35/F$3</f>
        <v>0</v>
      </c>
      <c r="H35">
        <f>COUNTIFS(Crewmanifest!F:F,'Speziesanteile nach Abteilungen'!A33,Crewmanifest!H:H,"Ja",Crewmanifest!E:E,"Kadett")+COUNTIFS(Crewmanifest!G:G,'Speziesanteile nach Abteilungen'!A33,Crewmanifest!H:H,"Ja",Crewmanifest!E:E,"Kadett")</f>
        <v>0</v>
      </c>
      <c r="I35" s="13">
        <f t="shared" ref="I35" si="90">H35/H$3</f>
        <v>0</v>
      </c>
      <c r="K35">
        <f>COUNTIFS(Crewmanifest!F:F,'Speziesanteile nach Abteilungen'!A33,Crewmanifest!H:H,"Ja",Crewmanifest!E:E,"Captain")+COUNTIFS(Crewmanifest!G:G,'Speziesanteile nach Abteilungen'!A33,Crewmanifest!H:H,"Ja",Crewmanifest!E:E,"Captain")</f>
        <v>0</v>
      </c>
      <c r="L35" s="13">
        <f t="shared" ref="L35" si="91">K35/K$3</f>
        <v>0</v>
      </c>
      <c r="M35">
        <f>COUNTIFS(Crewmanifest!F:F,'Speziesanteile nach Abteilungen'!A33,Crewmanifest!H:H,"Ja",Crewmanifest!E:E,"Commander")+COUNTIFS(Crewmanifest!G:G,'Speziesanteile nach Abteilungen'!A33,Crewmanifest!H:H,"Ja",Crewmanifest!E:E,"Commander")</f>
        <v>0</v>
      </c>
      <c r="N35" s="13">
        <f t="shared" ref="N35" si="92">M35/M$3</f>
        <v>0</v>
      </c>
      <c r="O35">
        <f>COUNTIFS(Crewmanifest!F:F,'Speziesanteile nach Abteilungen'!A33,Crewmanifest!H:H,"Ja",Crewmanifest!E:E,"Lieutenant Commander")+COUNTIFS(Crewmanifest!G:G,'Speziesanteile nach Abteilungen'!A33,Crewmanifest!H:H,"Ja",Crewmanifest!E:E,"Lieutenant Commander")</f>
        <v>0</v>
      </c>
      <c r="P35" s="13">
        <f t="shared" ref="P35:R35" si="93">O35/O$3</f>
        <v>0</v>
      </c>
      <c r="Q35">
        <f>COUNTIFS(Crewmanifest!F:F,'Speziesanteile nach Abteilungen'!A33,Crewmanifest!H:H,"Ja",Crewmanifest!E:E,"Lieutenant")+COUNTIFS(Crewmanifest!G:G,'Speziesanteile nach Abteilungen'!A33,Crewmanifest!H:H,"Ja",Crewmanifest!E:E,"Lieutenant")</f>
        <v>1</v>
      </c>
      <c r="R35" s="13">
        <f t="shared" si="93"/>
        <v>0.14285714285714285</v>
      </c>
      <c r="S35">
        <f>COUNTIFS(Crewmanifest!F:F,'Speziesanteile nach Abteilungen'!A33,Crewmanifest!H:H,"Ja",Crewmanifest!E:E,"Lieutenant JG")+COUNTIFS(Crewmanifest!G:G,'Speziesanteile nach Abteilungen'!A33,Crewmanifest!H:H,"Ja",Crewmanifest!E:E,"Lieutenant JG")</f>
        <v>0</v>
      </c>
      <c r="T35" s="13">
        <f t="shared" ref="T35" si="94">S35/S$3</f>
        <v>0</v>
      </c>
      <c r="U35">
        <f>COUNTIFS(Crewmanifest!F:F,'Speziesanteile nach Abteilungen'!A33,Crewmanifest!H:H,"Ja",Crewmanifest!E:E,"Ensign")+COUNTIFS(Crewmanifest!G:G,'Speziesanteile nach Abteilungen'!A33,Crewmanifest!H:H,"Ja",Crewmanifest!E:E,"Ensign")</f>
        <v>0</v>
      </c>
      <c r="V35" s="13">
        <f t="shared" ref="V35" si="95">U35/U$3</f>
        <v>0</v>
      </c>
      <c r="X35">
        <f>COUNTIFS(Crewmanifest!F:F,'Speziesanteile nach Abteilungen'!A33,Crewmanifest!H:H,"Ja",Crewmanifest!E:E,"MCPO")+COUNTIFS(Crewmanifest!G:G,'Speziesanteile nach Abteilungen'!A33,Crewmanifest!H:H,"Ja",Crewmanifest!E:E,"MCPO")</f>
        <v>0</v>
      </c>
      <c r="Y35" s="13">
        <f t="shared" si="30"/>
        <v>0</v>
      </c>
      <c r="Z35">
        <f>COUNTIFS(Crewmanifest!F:F,'Speziesanteile nach Abteilungen'!A33,Crewmanifest!H:H,"Ja",Crewmanifest!E:E,"CPO")+COUNTIFS(Crewmanifest!G:G,'Speziesanteile nach Abteilungen'!A33,Crewmanifest!H:H,"Ja",Crewmanifest!E:E,"CPO")</f>
        <v>0</v>
      </c>
      <c r="AA35" s="13">
        <f t="shared" si="31"/>
        <v>0</v>
      </c>
      <c r="AB35">
        <f>COUNTIFS(Crewmanifest!F:F,'Speziesanteile nach Abteilungen'!A33,Crewmanifest!H:H,"Ja",Crewmanifest!E:E,"PO")+COUNTIFS(Crewmanifest!G:G,'Speziesanteile nach Abteilungen'!A33,Crewmanifest!H:H,"Ja",Crewmanifest!E:E,"PO")</f>
        <v>1</v>
      </c>
      <c r="AC35" s="13">
        <f t="shared" si="32"/>
        <v>3.125E-2</v>
      </c>
    </row>
    <row r="36" spans="1:29">
      <c r="P36" s="14"/>
      <c r="R36" s="14"/>
    </row>
  </sheetData>
  <mergeCells count="13">
    <mergeCell ref="B1:C1"/>
    <mergeCell ref="D1:E1"/>
    <mergeCell ref="Z1:AA1"/>
    <mergeCell ref="AB1:AC1"/>
    <mergeCell ref="F1:G1"/>
    <mergeCell ref="H1:I1"/>
    <mergeCell ref="K1:L1"/>
    <mergeCell ref="O1:P1"/>
    <mergeCell ref="M1:N1"/>
    <mergeCell ref="S1:T1"/>
    <mergeCell ref="U1:V1"/>
    <mergeCell ref="X1:Y1"/>
    <mergeCell ref="Q1:R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7" sqref="K27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B21" sqref="B21"/>
    </sheetView>
  </sheetViews>
  <sheetFormatPr baseColWidth="10" defaultRowHeight="15"/>
  <cols>
    <col min="1" max="1" width="13.42578125" style="2" bestFit="1" customWidth="1"/>
    <col min="2" max="5" width="11.42578125" style="2" customWidth="1"/>
    <col min="6" max="6" width="11.42578125" customWidth="1"/>
  </cols>
  <sheetData>
    <row r="1" spans="1:5">
      <c r="A1" s="10" t="s">
        <v>2</v>
      </c>
      <c r="B1" s="15" t="s">
        <v>27</v>
      </c>
      <c r="C1" s="15"/>
      <c r="D1" s="15" t="s">
        <v>100</v>
      </c>
      <c r="E1" s="15"/>
    </row>
    <row r="2" spans="1:5">
      <c r="A2" s="1"/>
      <c r="B2" s="1" t="s">
        <v>66</v>
      </c>
      <c r="C2" s="1" t="s">
        <v>65</v>
      </c>
      <c r="D2" s="1" t="s">
        <v>66</v>
      </c>
      <c r="E2" s="1" t="s">
        <v>65</v>
      </c>
    </row>
    <row r="3" spans="1:5">
      <c r="A3" s="1" t="s">
        <v>54</v>
      </c>
      <c r="B3" s="1">
        <f>COUNTIF(Crewmanifest!C:C,"Alpha")</f>
        <v>57</v>
      </c>
      <c r="C3" s="7">
        <f t="shared" ref="C3:C16" si="0">B3/B$3</f>
        <v>1</v>
      </c>
      <c r="D3" s="1">
        <f>COUNTIF(Crewmanifest!C:C,"Beta")+COUNTIF(Crewmanifest!C:C,"Gamma")</f>
        <v>38</v>
      </c>
      <c r="E3" s="7">
        <f t="shared" ref="E3:E16" si="1">D3/D$3</f>
        <v>1</v>
      </c>
    </row>
    <row r="4" spans="1:5">
      <c r="A4" s="2" t="s">
        <v>7</v>
      </c>
      <c r="B4" s="2">
        <f>COUNTIFS(Crewmanifest!C:C,"Alpha",Crewmanifest!F:F,'Speziesanteile nach Schichten'!A4,Crewmanifest!H:H,"")</f>
        <v>2</v>
      </c>
      <c r="C4" s="7">
        <f t="shared" si="0"/>
        <v>3.5087719298245612E-2</v>
      </c>
      <c r="D4" s="2">
        <f>COUNTIFS(Crewmanifest!C:C,"Beta",Crewmanifest!F:F,'Speziesanteile nach Schichten'!A4,Crewmanifest!H:H,"")+COUNTIFS(Crewmanifest!C:C,"Gamma",Crewmanifest!F:F,'Speziesanteile nach Schichten'!A4,Crewmanifest!H:H,"")</f>
        <v>0</v>
      </c>
      <c r="E4" s="7">
        <f t="shared" si="1"/>
        <v>0</v>
      </c>
    </row>
    <row r="5" spans="1:5">
      <c r="A5" s="2" t="s">
        <v>168</v>
      </c>
      <c r="B5" s="2">
        <f>COUNTIFS(Crewmanifest!C:C,"Alpha",Crewmanifest!F:F,'Speziesanteile nach Schichten'!A5,Crewmanifest!H:H,"")</f>
        <v>1</v>
      </c>
      <c r="C5" s="7">
        <f t="shared" si="0"/>
        <v>1.7543859649122806E-2</v>
      </c>
      <c r="D5" s="2">
        <f>COUNTIFS(Crewmanifest!C:C,"Beta",Crewmanifest!F:F,'Speziesanteile nach Schichten'!A5,Crewmanifest!H:H,"")+COUNTIFS(Crewmanifest!C:C,"Gamma",Crewmanifest!F:F,'Speziesanteile nach Schichten'!A5,Crewmanifest!H:H,"")</f>
        <v>1</v>
      </c>
      <c r="E5" s="7">
        <f t="shared" si="1"/>
        <v>2.6315789473684209E-2</v>
      </c>
    </row>
    <row r="6" spans="1:5">
      <c r="A6" s="2" t="s">
        <v>62</v>
      </c>
      <c r="B6" s="2">
        <f>COUNTIFS(Crewmanifest!C:C,"Alpha",Crewmanifest!F:F,'Speziesanteile nach Schichten'!A6,Crewmanifest!H:H,"")</f>
        <v>1</v>
      </c>
      <c r="C6" s="7">
        <f t="shared" si="0"/>
        <v>1.7543859649122806E-2</v>
      </c>
      <c r="D6" s="2">
        <f>COUNTIFS(Crewmanifest!C:C,"Beta",Crewmanifest!F:F,'Speziesanteile nach Schichten'!A6,Crewmanifest!H:H,"")+COUNTIFS(Crewmanifest!C:C,"Gamma",Crewmanifest!F:F,'Speziesanteile nach Schichten'!A6,Crewmanifest!H:H,"")</f>
        <v>1</v>
      </c>
      <c r="E6" s="7">
        <f t="shared" si="1"/>
        <v>2.6315789473684209E-2</v>
      </c>
    </row>
    <row r="7" spans="1:5">
      <c r="A7" s="2" t="s">
        <v>175</v>
      </c>
      <c r="B7" s="2">
        <f>COUNTIFS(Crewmanifest!C:C,"Alpha",Crewmanifest!F:F,'Speziesanteile nach Schichten'!A7,Crewmanifest!H:H,"")</f>
        <v>1</v>
      </c>
      <c r="C7" s="7">
        <f t="shared" si="0"/>
        <v>1.7543859649122806E-2</v>
      </c>
      <c r="D7" s="2">
        <f>COUNTIFS(Crewmanifest!C:C,"Beta",Crewmanifest!F:F,'Speziesanteile nach Schichten'!A7,Crewmanifest!H:H,"")+COUNTIFS(Crewmanifest!C:C,"Gamma",Crewmanifest!F:F,'Speziesanteile nach Schichten'!A7,Crewmanifest!H:H,"")</f>
        <v>0</v>
      </c>
      <c r="E7" s="7">
        <f t="shared" si="1"/>
        <v>0</v>
      </c>
    </row>
    <row r="8" spans="1:5">
      <c r="A8" s="2" t="s">
        <v>165</v>
      </c>
      <c r="B8" s="2">
        <f>COUNTIFS(Crewmanifest!C:C,"Alpha",Crewmanifest!F:F,'Speziesanteile nach Schichten'!A8,Crewmanifest!H:H,"")</f>
        <v>1</v>
      </c>
      <c r="C8" s="7">
        <f t="shared" si="0"/>
        <v>1.7543859649122806E-2</v>
      </c>
      <c r="D8" s="2">
        <f>COUNTIFS(Crewmanifest!C:C,"Beta",Crewmanifest!F:F,'Speziesanteile nach Schichten'!A8,Crewmanifest!H:H,"")+COUNTIFS(Crewmanifest!C:C,"Gamma",Crewmanifest!F:F,'Speziesanteile nach Schichten'!A8,Crewmanifest!H:H,"")</f>
        <v>0</v>
      </c>
      <c r="E8" s="7">
        <f t="shared" si="1"/>
        <v>0</v>
      </c>
    </row>
    <row r="9" spans="1:5">
      <c r="A9" s="2" t="s">
        <v>13</v>
      </c>
      <c r="B9" s="2">
        <f>COUNTIFS(Crewmanifest!C:C,"Alpha",Crewmanifest!F:F,'Speziesanteile nach Schichten'!A9,Crewmanifest!H:H,"")</f>
        <v>31</v>
      </c>
      <c r="C9" s="7">
        <f t="shared" si="0"/>
        <v>0.54385964912280704</v>
      </c>
      <c r="D9" s="2">
        <f>COUNTIFS(Crewmanifest!C:C,"Beta",Crewmanifest!F:F,'Speziesanteile nach Schichten'!A9,Crewmanifest!H:H,"")+COUNTIFS(Crewmanifest!C:C,"Gamma",Crewmanifest!F:F,'Speziesanteile nach Schichten'!A9,Crewmanifest!H:H,"")</f>
        <v>18</v>
      </c>
      <c r="E9" s="7">
        <f t="shared" si="1"/>
        <v>0.47368421052631576</v>
      </c>
    </row>
    <row r="10" spans="1:5">
      <c r="A10" s="2" t="s">
        <v>174</v>
      </c>
      <c r="B10" s="2">
        <f>COUNTIFS(Crewmanifest!C:C,"Alpha",Crewmanifest!F:F,'Speziesanteile nach Schichten'!A10,Crewmanifest!H:H,"")</f>
        <v>0</v>
      </c>
      <c r="C10" s="7">
        <f t="shared" si="0"/>
        <v>0</v>
      </c>
      <c r="D10" s="2">
        <f>COUNTIFS(Crewmanifest!C:C,"Beta",Crewmanifest!F:F,'Speziesanteile nach Schichten'!A10,Crewmanifest!H:H,"")+COUNTIFS(Crewmanifest!C:C,"Gamma",Crewmanifest!F:F,'Speziesanteile nach Schichten'!A10,Crewmanifest!H:H,"")</f>
        <v>1</v>
      </c>
      <c r="E10" s="7">
        <f t="shared" si="1"/>
        <v>2.6315789473684209E-2</v>
      </c>
    </row>
    <row r="11" spans="1:5">
      <c r="A11" s="2" t="s">
        <v>4</v>
      </c>
      <c r="B11" s="2">
        <f>COUNTIFS(Crewmanifest!C:C,"Alpha",Crewmanifest!F:F,'Speziesanteile nach Schichten'!A11,Crewmanifest!H:H,"")</f>
        <v>3</v>
      </c>
      <c r="C11" s="7">
        <f t="shared" si="0"/>
        <v>5.2631578947368418E-2</v>
      </c>
      <c r="D11" s="2">
        <f>COUNTIFS(Crewmanifest!C:C,"Beta",Crewmanifest!F:F,'Speziesanteile nach Schichten'!A11,Crewmanifest!H:H,"")+COUNTIFS(Crewmanifest!C:C,"Gamma",Crewmanifest!F:F,'Speziesanteile nach Schichten'!A11,Crewmanifest!H:H,"")</f>
        <v>0</v>
      </c>
      <c r="E11" s="7">
        <f t="shared" si="1"/>
        <v>0</v>
      </c>
    </row>
    <row r="12" spans="1:5">
      <c r="A12" s="2" t="s">
        <v>21</v>
      </c>
      <c r="B12" s="2">
        <f>COUNTIFS(Crewmanifest!C:C,"Alpha",Crewmanifest!F:F,'Speziesanteile nach Schichten'!A12,Crewmanifest!H:H,"")</f>
        <v>2</v>
      </c>
      <c r="C12" s="7">
        <f t="shared" si="0"/>
        <v>3.5087719298245612E-2</v>
      </c>
      <c r="D12" s="2">
        <f>COUNTIFS(Crewmanifest!C:C,"Beta",Crewmanifest!F:F,'Speziesanteile nach Schichten'!A12,Crewmanifest!H:H,"")+COUNTIFS(Crewmanifest!C:C,"Gamma",Crewmanifest!F:F,'Speziesanteile nach Schichten'!A12,Crewmanifest!H:H,"")</f>
        <v>0</v>
      </c>
      <c r="E12" s="7">
        <f t="shared" si="1"/>
        <v>0</v>
      </c>
    </row>
    <row r="13" spans="1:5">
      <c r="A13" s="2" t="s">
        <v>176</v>
      </c>
      <c r="B13" s="2">
        <f>COUNTIFS(Crewmanifest!C:C,"Alpha",Crewmanifest!F:F,'Speziesanteile nach Schichten'!A13,Crewmanifest!H:H,"")</f>
        <v>0</v>
      </c>
      <c r="C13" s="7">
        <f t="shared" si="0"/>
        <v>0</v>
      </c>
      <c r="D13" s="2">
        <f>COUNTIFS(Crewmanifest!C:C,"Beta",Crewmanifest!F:F,'Speziesanteile nach Schichten'!A13,Crewmanifest!H:H,"")+COUNTIFS(Crewmanifest!C:C,"Gamma",Crewmanifest!F:F,'Speziesanteile nach Schichten'!A13,Crewmanifest!H:H,"")</f>
        <v>1</v>
      </c>
      <c r="E13" s="7">
        <f t="shared" si="1"/>
        <v>2.6315789473684209E-2</v>
      </c>
    </row>
    <row r="14" spans="1:5">
      <c r="A14" s="2" t="s">
        <v>55</v>
      </c>
      <c r="B14" s="2">
        <f>COUNTIFS(Crewmanifest!C:C,"Alpha",Crewmanifest!F:F,'Speziesanteile nach Schichten'!A14,Crewmanifest!H:H,"")</f>
        <v>3</v>
      </c>
      <c r="C14" s="7">
        <f t="shared" si="0"/>
        <v>5.2631578947368418E-2</v>
      </c>
      <c r="D14" s="2">
        <f>COUNTIFS(Crewmanifest!C:C,"Beta",Crewmanifest!F:F,'Speziesanteile nach Schichten'!A14,Crewmanifest!H:H,"")+COUNTIFS(Crewmanifest!C:C,"Gamma",Crewmanifest!F:F,'Speziesanteile nach Schichten'!A14,Crewmanifest!H:H,"")</f>
        <v>3</v>
      </c>
      <c r="E14" s="7">
        <f t="shared" si="1"/>
        <v>7.8947368421052627E-2</v>
      </c>
    </row>
    <row r="15" spans="1:5">
      <c r="A15" s="2" t="s">
        <v>74</v>
      </c>
      <c r="B15" s="2">
        <f>COUNTIFS(Crewmanifest!C:C,"Alpha",Crewmanifest!F:F,'Speziesanteile nach Schichten'!A15,Crewmanifest!H:H,"")</f>
        <v>1</v>
      </c>
      <c r="C15" s="7">
        <f t="shared" si="0"/>
        <v>1.7543859649122806E-2</v>
      </c>
      <c r="D15" s="2">
        <f>COUNTIFS(Crewmanifest!C:C,"Beta",Crewmanifest!F:F,'Speziesanteile nach Schichten'!A15,Crewmanifest!H:H,"")+COUNTIFS(Crewmanifest!C:C,"Gamma",Crewmanifest!F:F,'Speziesanteile nach Schichten'!A15,Crewmanifest!H:H,"")</f>
        <v>13</v>
      </c>
      <c r="E15" s="7">
        <f t="shared" si="1"/>
        <v>0.34210526315789475</v>
      </c>
    </row>
    <row r="16" spans="1:5">
      <c r="A16" s="2" t="s">
        <v>5</v>
      </c>
      <c r="B16" s="2">
        <f>COUNTIFS(Crewmanifest!C:C,"Alpha",Crewmanifest!F:F,'Speziesanteile nach Schichten'!A16,Crewmanifest!H:H,"")</f>
        <v>0</v>
      </c>
      <c r="C16" s="7">
        <f t="shared" si="0"/>
        <v>0</v>
      </c>
      <c r="D16" s="2">
        <f>COUNTIFS(Crewmanifest!C:C,"Beta",Crewmanifest!F:F,'Speziesanteile nach Schichten'!A16,Crewmanifest!H:H,"")+COUNTIFS(Crewmanifest!C:C,"Gamma",Crewmanifest!F:F,'Speziesanteile nach Schichten'!A16,Crewmanifest!H:H,"")</f>
        <v>0</v>
      </c>
      <c r="E16" s="7">
        <f t="shared" si="1"/>
        <v>0</v>
      </c>
    </row>
    <row r="17" spans="1:5">
      <c r="C17" s="9"/>
      <c r="E17" s="9"/>
    </row>
    <row r="18" spans="1:5">
      <c r="A18" s="2" t="s">
        <v>131</v>
      </c>
      <c r="B18" s="2">
        <f>'Speziesanteile nach Abteilungen'!B18/3</f>
        <v>168</v>
      </c>
      <c r="C18" s="8">
        <f>B3/B18</f>
        <v>0.3392857142857143</v>
      </c>
      <c r="D18" s="2">
        <f>'Speziesanteile nach Abteilungen'!B18/3 *2</f>
        <v>336</v>
      </c>
      <c r="E18" s="8">
        <f>D3/D18</f>
        <v>0.1130952380952381</v>
      </c>
    </row>
    <row r="19" spans="1:5">
      <c r="C19" s="9"/>
      <c r="E19" s="9"/>
    </row>
    <row r="20" spans="1:5">
      <c r="C20" s="9"/>
      <c r="E20" s="9"/>
    </row>
    <row r="21" spans="1:5">
      <c r="A21" s="2" t="s">
        <v>173</v>
      </c>
      <c r="B21" s="5" t="s">
        <v>179</v>
      </c>
      <c r="C21" s="9"/>
      <c r="E21" s="9"/>
    </row>
    <row r="22" spans="1:5">
      <c r="C22" s="9"/>
      <c r="E22" s="9"/>
    </row>
    <row r="23" spans="1:5">
      <c r="A23" s="2" t="s">
        <v>62</v>
      </c>
      <c r="B23" s="2">
        <f>COUNTIFS(Crewmanifest!C:C,"Alpha",Crewmanifest!F:F,'Speziesanteile nach Schichten'!A23,Crewmanifest!H:H,"Ja")+COUNTIFS(Crewmanifest!C:C,"Alpha",Crewmanifest!G:G,'Speziesanteile nach Schichten'!A23,Crewmanifest!H:H,"Ja")</f>
        <v>1</v>
      </c>
      <c r="C23" s="8">
        <f>B23/B$3</f>
        <v>1.7543859649122806E-2</v>
      </c>
      <c r="D23" s="2">
        <f>COUNTIFS(Crewmanifest!C:C,"Beta",Crewmanifest!F:F,'Speziesanteile nach Schichten'!A23,Crewmanifest!H:H,"Ja")+COUNTIFS(Crewmanifest!C:C,"Beta",Crewmanifest!G:G,'Speziesanteile nach Schichten'!A23,Crewmanifest!H:H,"Ja")+COUNTIFS(Crewmanifest!C:C,"Gamma",Crewmanifest!F:F,'Speziesanteile nach Schichten'!A23,Crewmanifest!H:H,"Ja")+COUNTIFS(Crewmanifest!C:C,"Gamma",Crewmanifest!G:G,'Speziesanteile nach Schichten'!A23,Crewmanifest!H:H,"Ja")</f>
        <v>0</v>
      </c>
      <c r="E23" s="8">
        <f>D23/D$3</f>
        <v>0</v>
      </c>
    </row>
    <row r="24" spans="1:5">
      <c r="A24" s="2" t="s">
        <v>166</v>
      </c>
      <c r="B24" s="2">
        <f>COUNTIFS(Crewmanifest!C:C,"Alpha",Crewmanifest!F:F,'Speziesanteile nach Schichten'!A24,Crewmanifest!H:H,"Ja")+COUNTIFS(Crewmanifest!C:C,"Alpha",Crewmanifest!G:G,'Speziesanteile nach Schichten'!A24,Crewmanifest!H:H,"Ja")</f>
        <v>3</v>
      </c>
      <c r="C24" s="8">
        <f t="shared" ref="C24:C33" si="2">B24/B$3</f>
        <v>5.2631578947368418E-2</v>
      </c>
      <c r="D24" s="2">
        <f>COUNTIFS(Crewmanifest!C:C,"Beta",Crewmanifest!F:F,'Speziesanteile nach Schichten'!A24,Crewmanifest!H:H,"Ja")+COUNTIFS(Crewmanifest!C:C,"Beta",Crewmanifest!G:G,'Speziesanteile nach Schichten'!A24,Crewmanifest!H:H,"Ja")+COUNTIFS(Crewmanifest!C:C,"Gamma",Crewmanifest!F:F,'Speziesanteile nach Schichten'!A24,Crewmanifest!H:H,"Ja")+COUNTIFS(Crewmanifest!C:C,"Gamma",Crewmanifest!G:G,'Speziesanteile nach Schichten'!A24,Crewmanifest!H:H,"Ja")</f>
        <v>0</v>
      </c>
      <c r="E24" s="8">
        <f t="shared" ref="E24:E33" si="3">D24/D$3</f>
        <v>0</v>
      </c>
    </row>
    <row r="25" spans="1:5">
      <c r="A25" s="2" t="s">
        <v>61</v>
      </c>
      <c r="B25" s="2">
        <f>COUNTIFS(Crewmanifest!C:C,"Alpha",Crewmanifest!F:F,'Speziesanteile nach Schichten'!A25,Crewmanifest!H:H,"Ja")+COUNTIFS(Crewmanifest!C:C,"Alpha",Crewmanifest!G:G,'Speziesanteile nach Schichten'!A25,Crewmanifest!H:H,"Ja")</f>
        <v>1</v>
      </c>
      <c r="C25" s="8">
        <f t="shared" si="2"/>
        <v>1.7543859649122806E-2</v>
      </c>
      <c r="D25" s="2">
        <f>COUNTIFS(Crewmanifest!C:C,"Beta",Crewmanifest!F:F,'Speziesanteile nach Schichten'!A25,Crewmanifest!H:H,"Ja")+COUNTIFS(Crewmanifest!C:C,"Beta",Crewmanifest!G:G,'Speziesanteile nach Schichten'!A25,Crewmanifest!H:H,"Ja")+COUNTIFS(Crewmanifest!C:C,"Gamma",Crewmanifest!F:F,'Speziesanteile nach Schichten'!A25,Crewmanifest!H:H,"Ja")+COUNTIFS(Crewmanifest!C:C,"Gamma",Crewmanifest!G:G,'Speziesanteile nach Schichten'!A25,Crewmanifest!H:H,"Ja")</f>
        <v>0</v>
      </c>
      <c r="E25" s="8">
        <f t="shared" si="3"/>
        <v>0</v>
      </c>
    </row>
    <row r="26" spans="1:5">
      <c r="A26" s="2" t="s">
        <v>170</v>
      </c>
      <c r="B26" s="2">
        <f>COUNTIFS(Crewmanifest!C:C,"Alpha",Crewmanifest!F:F,'Speziesanteile nach Schichten'!A26,Crewmanifest!H:H,"Ja")+COUNTIFS(Crewmanifest!C:C,"Alpha",Crewmanifest!G:G,'Speziesanteile nach Schichten'!A26,Crewmanifest!H:H,"Ja")</f>
        <v>1</v>
      </c>
      <c r="C26" s="8">
        <f t="shared" si="2"/>
        <v>1.7543859649122806E-2</v>
      </c>
      <c r="D26" s="2">
        <f>COUNTIFS(Crewmanifest!C:C,"Beta",Crewmanifest!F:F,'Speziesanteile nach Schichten'!A26,Crewmanifest!H:H,"Ja")+COUNTIFS(Crewmanifest!C:C,"Beta",Crewmanifest!G:G,'Speziesanteile nach Schichten'!A26,Crewmanifest!H:H,"Ja")+COUNTIFS(Crewmanifest!C:C,"Gamma",Crewmanifest!F:F,'Speziesanteile nach Schichten'!A26,Crewmanifest!H:H,"Ja")+COUNTIFS(Crewmanifest!C:C,"Gamma",Crewmanifest!G:G,'Speziesanteile nach Schichten'!A26,Crewmanifest!H:H,"Ja")</f>
        <v>0</v>
      </c>
      <c r="E26" s="8">
        <f t="shared" si="3"/>
        <v>0</v>
      </c>
    </row>
    <row r="27" spans="1:5">
      <c r="A27" s="2" t="s">
        <v>171</v>
      </c>
      <c r="B27" s="2">
        <f>COUNTIFS(Crewmanifest!C:C,"Alpha",Crewmanifest!F:F,'Speziesanteile nach Schichten'!A27,Crewmanifest!H:H,"Ja")+COUNTIFS(Crewmanifest!C:C,"Alpha",Crewmanifest!G:G,'Speziesanteile nach Schichten'!A27,Crewmanifest!H:H,"Ja")</f>
        <v>1</v>
      </c>
      <c r="C27" s="8">
        <f t="shared" si="2"/>
        <v>1.7543859649122806E-2</v>
      </c>
      <c r="D27" s="2">
        <f>COUNTIFS(Crewmanifest!C:C,"Beta",Crewmanifest!F:F,'Speziesanteile nach Schichten'!A27,Crewmanifest!H:H,"Ja")+COUNTIFS(Crewmanifest!C:C,"Beta",Crewmanifest!G:G,'Speziesanteile nach Schichten'!A27,Crewmanifest!H:H,"Ja")+COUNTIFS(Crewmanifest!C:C,"Gamma",Crewmanifest!F:F,'Speziesanteile nach Schichten'!A27,Crewmanifest!H:H,"Ja")+COUNTIFS(Crewmanifest!C:C,"Gamma",Crewmanifest!G:G,'Speziesanteile nach Schichten'!A27,Crewmanifest!H:H,"Ja")</f>
        <v>0</v>
      </c>
      <c r="E27" s="8">
        <f t="shared" si="3"/>
        <v>0</v>
      </c>
    </row>
    <row r="28" spans="1:5">
      <c r="A28" s="2" t="s">
        <v>56</v>
      </c>
      <c r="B28" s="2">
        <f>COUNTIFS(Crewmanifest!C:C,"Alpha",Crewmanifest!F:F,'Speziesanteile nach Schichten'!A28,Crewmanifest!H:H,"Ja")+COUNTIFS(Crewmanifest!C:C,"Alpha",Crewmanifest!G:G,'Speziesanteile nach Schichten'!A28,Crewmanifest!H:H,"Ja")</f>
        <v>2</v>
      </c>
      <c r="C28" s="8">
        <f t="shared" si="2"/>
        <v>3.5087719298245612E-2</v>
      </c>
      <c r="D28" s="2">
        <f>COUNTIFS(Crewmanifest!C:C,"Beta",Crewmanifest!F:F,'Speziesanteile nach Schichten'!A28,Crewmanifest!H:H,"Ja")+COUNTIFS(Crewmanifest!C:C,"Beta",Crewmanifest!G:G,'Speziesanteile nach Schichten'!A28,Crewmanifest!H:H,"Ja")+COUNTIFS(Crewmanifest!C:C,"Gamma",Crewmanifest!F:F,'Speziesanteile nach Schichten'!A28,Crewmanifest!H:H,"Ja")+COUNTIFS(Crewmanifest!C:C,"Gamma",Crewmanifest!G:G,'Speziesanteile nach Schichten'!A28,Crewmanifest!H:H,"Ja")</f>
        <v>0</v>
      </c>
      <c r="E28" s="8">
        <f t="shared" si="3"/>
        <v>0</v>
      </c>
    </row>
    <row r="29" spans="1:5">
      <c r="A29" s="2" t="s">
        <v>13</v>
      </c>
      <c r="B29" s="2">
        <f>COUNTIFS(Crewmanifest!C:C,"Alpha",Crewmanifest!F:F,'Speziesanteile nach Schichten'!A29,Crewmanifest!H:H,"Ja")+COUNTIFS(Crewmanifest!C:C,"Alpha",Crewmanifest!G:G,'Speziesanteile nach Schichten'!A29,Crewmanifest!H:H,"Ja")</f>
        <v>8</v>
      </c>
      <c r="C29" s="8">
        <f t="shared" si="2"/>
        <v>0.14035087719298245</v>
      </c>
      <c r="D29" s="2">
        <f>COUNTIFS(Crewmanifest!C:C,"Beta",Crewmanifest!F:F,'Speziesanteile nach Schichten'!A29,Crewmanifest!H:H,"Ja")+COUNTIFS(Crewmanifest!C:C,"Beta",Crewmanifest!G:G,'Speziesanteile nach Schichten'!A29,Crewmanifest!H:H,"Ja")+COUNTIFS(Crewmanifest!C:C,"Gamma",Crewmanifest!F:F,'Speziesanteile nach Schichten'!A29,Crewmanifest!H:H,"Ja")+COUNTIFS(Crewmanifest!C:C,"Gamma",Crewmanifest!G:G,'Speziesanteile nach Schichten'!A29,Crewmanifest!H:H,"Ja")</f>
        <v>0</v>
      </c>
      <c r="E29" s="8">
        <f t="shared" si="3"/>
        <v>0</v>
      </c>
    </row>
    <row r="30" spans="1:5">
      <c r="A30" s="2" t="s">
        <v>172</v>
      </c>
      <c r="B30" s="2">
        <f>COUNTIFS(Crewmanifest!C:C,"Alpha",Crewmanifest!F:F,'Speziesanteile nach Schichten'!A30,Crewmanifest!H:H,"Ja")+COUNTIFS(Crewmanifest!C:C,"Alpha",Crewmanifest!G:G,'Speziesanteile nach Schichten'!A30,Crewmanifest!H:H,"Ja")</f>
        <v>1</v>
      </c>
      <c r="C30" s="8">
        <f t="shared" si="2"/>
        <v>1.7543859649122806E-2</v>
      </c>
      <c r="D30" s="2">
        <f>COUNTIFS(Crewmanifest!C:C,"Beta",Crewmanifest!F:F,'Speziesanteile nach Schichten'!A30,Crewmanifest!H:H,"Ja")+COUNTIFS(Crewmanifest!C:C,"Beta",Crewmanifest!G:G,'Speziesanteile nach Schichten'!A30,Crewmanifest!H:H,"Ja")+COUNTIFS(Crewmanifest!C:C,"Gamma",Crewmanifest!F:F,'Speziesanteile nach Schichten'!A30,Crewmanifest!H:H,"Ja")+COUNTIFS(Crewmanifest!C:C,"Gamma",Crewmanifest!G:G,'Speziesanteile nach Schichten'!A30,Crewmanifest!H:H,"Ja")</f>
        <v>0</v>
      </c>
      <c r="E30" s="8">
        <f t="shared" si="3"/>
        <v>0</v>
      </c>
    </row>
    <row r="31" spans="1:5">
      <c r="A31" t="s">
        <v>167</v>
      </c>
      <c r="B31" s="2">
        <f>COUNTIFS(Crewmanifest!C:C,"Alpha",Crewmanifest!F:F,'Speziesanteile nach Schichten'!A31,Crewmanifest!H:H,"Ja")+COUNTIFS(Crewmanifest!C:C,"Alpha",Crewmanifest!G:G,'Speziesanteile nach Schichten'!A31,Crewmanifest!H:H,"Ja")</f>
        <v>1</v>
      </c>
      <c r="C31" s="8">
        <f t="shared" si="2"/>
        <v>1.7543859649122806E-2</v>
      </c>
      <c r="D31" s="2">
        <f>COUNTIFS(Crewmanifest!C:C,"Beta",Crewmanifest!F:F,'Speziesanteile nach Schichten'!A31,Crewmanifest!H:H,"Ja")+COUNTIFS(Crewmanifest!C:C,"Beta",Crewmanifest!G:G,'Speziesanteile nach Schichten'!A31,Crewmanifest!H:H,"Ja")+COUNTIFS(Crewmanifest!C:C,"Gamma",Crewmanifest!F:F,'Speziesanteile nach Schichten'!A31,Crewmanifest!H:H,"Ja")+COUNTIFS(Crewmanifest!C:C,"Gamma",Crewmanifest!G:G,'Speziesanteile nach Schichten'!A31,Crewmanifest!H:H,"Ja")</f>
        <v>0</v>
      </c>
      <c r="E31" s="8">
        <f t="shared" si="3"/>
        <v>0</v>
      </c>
    </row>
    <row r="32" spans="1:5">
      <c r="A32" t="s">
        <v>169</v>
      </c>
      <c r="B32" s="2">
        <f>COUNTIFS(Crewmanifest!C:C,"Alpha",Crewmanifest!F:F,'Speziesanteile nach Schichten'!A32,Crewmanifest!H:H,"Ja")+COUNTIFS(Crewmanifest!C:C,"Alpha",Crewmanifest!G:G,'Speziesanteile nach Schichten'!A32,Crewmanifest!H:H,"Ja")</f>
        <v>1</v>
      </c>
      <c r="C32" s="8">
        <f t="shared" si="2"/>
        <v>1.7543859649122806E-2</v>
      </c>
      <c r="D32" s="2">
        <f>COUNTIFS(Crewmanifest!C:C,"Beta",Crewmanifest!F:F,'Speziesanteile nach Schichten'!A32,Crewmanifest!H:H,"Ja")+COUNTIFS(Crewmanifest!C:C,"Beta",Crewmanifest!G:G,'Speziesanteile nach Schichten'!A32,Crewmanifest!H:H,"Ja")+COUNTIFS(Crewmanifest!C:C,"Gamma",Crewmanifest!F:F,'Speziesanteile nach Schichten'!A32,Crewmanifest!H:H,"Ja")+COUNTIFS(Crewmanifest!C:C,"Gamma",Crewmanifest!G:G,'Speziesanteile nach Schichten'!A32,Crewmanifest!H:H,"Ja")</f>
        <v>0</v>
      </c>
      <c r="E32" s="8">
        <f t="shared" si="3"/>
        <v>0</v>
      </c>
    </row>
    <row r="33" spans="1:5">
      <c r="A33" s="2" t="s">
        <v>55</v>
      </c>
      <c r="B33" s="2">
        <f>COUNTIFS(Crewmanifest!C:C,"Alpha",Crewmanifest!F:F,'Speziesanteile nach Schichten'!A33,Crewmanifest!H:H,"Ja")+COUNTIFS(Crewmanifest!C:C,"Alpha",Crewmanifest!G:G,'Speziesanteile nach Schichten'!A33,Crewmanifest!H:H,"Ja")</f>
        <v>2</v>
      </c>
      <c r="C33" s="8">
        <f t="shared" si="2"/>
        <v>3.5087719298245612E-2</v>
      </c>
      <c r="D33" s="2">
        <f>COUNTIFS(Crewmanifest!C:C,"Beta",Crewmanifest!F:F,'Speziesanteile nach Schichten'!A33,Crewmanifest!H:H,"Ja")+COUNTIFS(Crewmanifest!C:C,"Beta",Crewmanifest!G:G,'Speziesanteile nach Schichten'!A33,Crewmanifest!H:H,"Ja")+COUNTIFS(Crewmanifest!C:C,"Gamma",Crewmanifest!F:F,'Speziesanteile nach Schichten'!A33,Crewmanifest!H:H,"Ja")+COUNTIFS(Crewmanifest!C:C,"Gamma",Crewmanifest!G:G,'Speziesanteile nach Schichten'!A33,Crewmanifest!H:H,"Ja")</f>
        <v>0</v>
      </c>
      <c r="E33" s="8">
        <f t="shared" si="3"/>
        <v>0</v>
      </c>
    </row>
    <row r="39" spans="1:5">
      <c r="B39" s="9"/>
      <c r="D39" s="9"/>
    </row>
    <row r="40" spans="1:5">
      <c r="B40" s="8"/>
      <c r="D40" s="8"/>
    </row>
  </sheetData>
  <mergeCells count="2">
    <mergeCell ref="B1:C1"/>
    <mergeCell ref="D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Crewmanifest</vt:lpstr>
      <vt:lpstr>Speziesanteile nach Abteilungen</vt:lpstr>
      <vt:lpstr>Abteilungen Grafiken</vt:lpstr>
      <vt:lpstr>Speziesanteile nach Rängen</vt:lpstr>
      <vt:lpstr>Ränge Grafiken</vt:lpstr>
      <vt:lpstr>Speziesanteile nach Schichten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Rike</dc:creator>
  <cp:lastModifiedBy>Rike</cp:lastModifiedBy>
  <dcterms:created xsi:type="dcterms:W3CDTF">2019-02-24T12:38:42Z</dcterms:created>
  <dcterms:modified xsi:type="dcterms:W3CDTF">2019-03-03T11:47:58Z</dcterms:modified>
</cp:coreProperties>
</file>